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ырье 12-18 лет(6-10 день)" sheetId="1" r:id="rId1"/>
    <sheet name="Сырье 12-18 лет(1-5 день)" sheetId="2" r:id="rId2"/>
  </sheets>
  <definedNames>
    <definedName name="_xlnm.Print_Area" localSheetId="1">'Сырье 12-18 лет(1-5 день)'!$A$1:$P$295</definedName>
    <definedName name="_xlnm.Print_Area" localSheetId="0">'Сырье 12-18 лет(6-10 день)'!$A$1:$P$245</definedName>
  </definedNames>
  <calcPr fullCalcOnLoad="1"/>
</workbook>
</file>

<file path=xl/sharedStrings.xml><?xml version="1.0" encoding="utf-8"?>
<sst xmlns="http://schemas.openxmlformats.org/spreadsheetml/2006/main" count="824" uniqueCount="158">
  <si>
    <t>Наименование блюда</t>
  </si>
  <si>
    <t>Химический состав</t>
  </si>
  <si>
    <t>Витамины</t>
  </si>
  <si>
    <t xml:space="preserve">Минеральные </t>
  </si>
  <si>
    <t>вещества</t>
  </si>
  <si>
    <t>Б</t>
  </si>
  <si>
    <t>Ж</t>
  </si>
  <si>
    <t>У</t>
  </si>
  <si>
    <t>С</t>
  </si>
  <si>
    <t>А</t>
  </si>
  <si>
    <t>Са</t>
  </si>
  <si>
    <t>Р</t>
  </si>
  <si>
    <t>Mg</t>
  </si>
  <si>
    <t>Fe</t>
  </si>
  <si>
    <t>Завтрак</t>
  </si>
  <si>
    <t>Компот из с/ф</t>
  </si>
  <si>
    <t>Хлеб пшеничный</t>
  </si>
  <si>
    <t>Хлеб ржаной</t>
  </si>
  <si>
    <t>Итого за завтрак</t>
  </si>
  <si>
    <t>Обед</t>
  </si>
  <si>
    <t>Каша гречневая</t>
  </si>
  <si>
    <t>Шницель с маслом</t>
  </si>
  <si>
    <t>Итого за обед</t>
  </si>
  <si>
    <t>Каша пшенная с маслом</t>
  </si>
  <si>
    <t>Рассольник со сметаной</t>
  </si>
  <si>
    <t>Макароны отварные</t>
  </si>
  <si>
    <t>Цыплята отварные в масле</t>
  </si>
  <si>
    <t>Картофельное пюре</t>
  </si>
  <si>
    <t>Чай с лимоном</t>
  </si>
  <si>
    <t>Щи из свежей капусты</t>
  </si>
  <si>
    <t>Рис отварной</t>
  </si>
  <si>
    <t>Тефтели с соусом</t>
  </si>
  <si>
    <t>Чай с молоком без сахара</t>
  </si>
  <si>
    <t>Суп картофельный с пшеном и курицей</t>
  </si>
  <si>
    <t>Котлета рыбная</t>
  </si>
  <si>
    <t>Капуста тушеная</t>
  </si>
  <si>
    <t>Сыр</t>
  </si>
  <si>
    <t>Суп из овощей</t>
  </si>
  <si>
    <t>Кисель</t>
  </si>
  <si>
    <t>Рагу из птицы</t>
  </si>
  <si>
    <t>брутто</t>
  </si>
  <si>
    <t>нетто</t>
  </si>
  <si>
    <t>Выход в грам.</t>
  </si>
  <si>
    <t>Энерг. ценн., ккал.</t>
  </si>
  <si>
    <t>Рыба запеченная  с маслом</t>
  </si>
  <si>
    <t>рыба (горбуша)</t>
  </si>
  <si>
    <t>лук</t>
  </si>
  <si>
    <t>морковь</t>
  </si>
  <si>
    <t>масло слив.</t>
  </si>
  <si>
    <t>картофель</t>
  </si>
  <si>
    <t>молоко сухое</t>
  </si>
  <si>
    <t>В1</t>
  </si>
  <si>
    <t>В2</t>
  </si>
  <si>
    <t>сахар</t>
  </si>
  <si>
    <t>сухофрукты</t>
  </si>
  <si>
    <t>Огурец конс.</t>
  </si>
  <si>
    <t>Борщ со свежей капустой</t>
  </si>
  <si>
    <t>капуста свеж.</t>
  </si>
  <si>
    <t xml:space="preserve">свекла </t>
  </si>
  <si>
    <t>масло раст.</t>
  </si>
  <si>
    <t>томат</t>
  </si>
  <si>
    <t>сметана</t>
  </si>
  <si>
    <t>гречка</t>
  </si>
  <si>
    <t>масло сливочное</t>
  </si>
  <si>
    <t>мука</t>
  </si>
  <si>
    <t>хлеб пшеничный</t>
  </si>
  <si>
    <t>Сок яблочный</t>
  </si>
  <si>
    <t xml:space="preserve">чай  </t>
  </si>
  <si>
    <t>пшено</t>
  </si>
  <si>
    <t>огурцы конс.</t>
  </si>
  <si>
    <t xml:space="preserve">макароны  </t>
  </si>
  <si>
    <t>кисель</t>
  </si>
  <si>
    <t>творог</t>
  </si>
  <si>
    <t>яйцо</t>
  </si>
  <si>
    <t>повидло</t>
  </si>
  <si>
    <t>Сарделька отварная</t>
  </si>
  <si>
    <t>Запеканка творожно-морковная с повидлом</t>
  </si>
  <si>
    <t xml:space="preserve">картофель </t>
  </si>
  <si>
    <t>крупа перловая</t>
  </si>
  <si>
    <t>цыпленок брол.</t>
  </si>
  <si>
    <t xml:space="preserve">капуста  </t>
  </si>
  <si>
    <t>котлета п/ф</t>
  </si>
  <si>
    <t xml:space="preserve">капуста </t>
  </si>
  <si>
    <t>зеленый горошек</t>
  </si>
  <si>
    <t xml:space="preserve">рис  </t>
  </si>
  <si>
    <t>фарш д/котлет</t>
  </si>
  <si>
    <t>Сок апельсиновый</t>
  </si>
  <si>
    <t>лимон</t>
  </si>
  <si>
    <t>Кондитерские изделия</t>
  </si>
  <si>
    <t>какао</t>
  </si>
  <si>
    <t>Какао на молоке</t>
  </si>
  <si>
    <t>Всего за 2 день</t>
  </si>
  <si>
    <t>Всего за 3 день</t>
  </si>
  <si>
    <t>Всего за 4 день</t>
  </si>
  <si>
    <t>Всего за 1 день</t>
  </si>
  <si>
    <t>Фрукты: (яблоко, апельсин)</t>
  </si>
  <si>
    <t>Омлет с колбасными изделиями</t>
  </si>
  <si>
    <t>колбаса вареная</t>
  </si>
  <si>
    <t>Напиток кисломолочный         (снежок, йогурт)</t>
  </si>
  <si>
    <t>Суп рыбный</t>
  </si>
  <si>
    <t>рыба консервир.</t>
  </si>
  <si>
    <t>рис</t>
  </si>
  <si>
    <t>Всего за 5 день</t>
  </si>
  <si>
    <t>Плов из птицы</t>
  </si>
  <si>
    <t>цыпленок бройл.</t>
  </si>
  <si>
    <t>Сок персиковый</t>
  </si>
  <si>
    <t>капуста свежая</t>
  </si>
  <si>
    <t>Фрукты: (банан)</t>
  </si>
  <si>
    <t xml:space="preserve">Суп с фрикадельками </t>
  </si>
  <si>
    <t>фарш говяжий</t>
  </si>
  <si>
    <t>печень</t>
  </si>
  <si>
    <t>Печень по-строгановски</t>
  </si>
  <si>
    <t>Всего за 6 день</t>
  </si>
  <si>
    <t>Всего за 7 день</t>
  </si>
  <si>
    <t>Биточек с маслом</t>
  </si>
  <si>
    <t>Кофейный напиток</t>
  </si>
  <si>
    <t>Каша рисовая</t>
  </si>
  <si>
    <t>кофе (сурогат)</t>
  </si>
  <si>
    <t>горох</t>
  </si>
  <si>
    <t>Солянка сборная</t>
  </si>
  <si>
    <t>Всего за 8 день</t>
  </si>
  <si>
    <t>Сосиска отварная</t>
  </si>
  <si>
    <t>Чай сладкий</t>
  </si>
  <si>
    <t>колбаса копчен.</t>
  </si>
  <si>
    <t>огурцы соленые</t>
  </si>
  <si>
    <t>Всего за 9 день</t>
  </si>
  <si>
    <t>Жаркое по-домашнему</t>
  </si>
  <si>
    <t>Огурец свеж.</t>
  </si>
  <si>
    <t>Каша перловая</t>
  </si>
  <si>
    <t>перловка</t>
  </si>
  <si>
    <t>Всего за 10 день</t>
  </si>
  <si>
    <t>итого за 10 дней</t>
  </si>
  <si>
    <t>Помидор свеж.</t>
  </si>
  <si>
    <t>Салат из морской капусты конс.</t>
  </si>
  <si>
    <t>Макароны с сыром</t>
  </si>
  <si>
    <t>сыр</t>
  </si>
  <si>
    <t>100/50</t>
  </si>
  <si>
    <t>200/30</t>
  </si>
  <si>
    <t>макарон.изделия</t>
  </si>
  <si>
    <t>Колбаса вареная</t>
  </si>
  <si>
    <t>масло слив</t>
  </si>
  <si>
    <t>75/50</t>
  </si>
  <si>
    <t>манка</t>
  </si>
  <si>
    <t xml:space="preserve">Пудинг творожно-манный </t>
  </si>
  <si>
    <t>изюм</t>
  </si>
  <si>
    <t>кофе (суррогат)</t>
  </si>
  <si>
    <t>Суп гороховый с гренками</t>
  </si>
  <si>
    <t>250/10</t>
  </si>
  <si>
    <t>6</t>
  </si>
  <si>
    <t xml:space="preserve">повидло </t>
  </si>
  <si>
    <t>День: понедельник</t>
  </si>
  <si>
    <t>Неделя: первая</t>
  </si>
  <si>
    <t>Возрастная категория: 12-18 лет</t>
  </si>
  <si>
    <t>День: вторник</t>
  </si>
  <si>
    <t>День: среда</t>
  </si>
  <si>
    <t>День: четверг</t>
  </si>
  <si>
    <t>День: пятница</t>
  </si>
  <si>
    <t>Неделя: вторая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</si>
</sst>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2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11"/>
      <color indexed="53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vertical="center"/>
    </xf>
    <xf numFmtId="192" fontId="3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92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2" fontId="5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92" fontId="7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192" fontId="7" fillId="0" borderId="10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 vertical="center"/>
    </xf>
    <xf numFmtId="192" fontId="3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192" fontId="9" fillId="0" borderId="17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 wrapText="1"/>
    </xf>
    <xf numFmtId="192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192" fontId="2" fillId="0" borderId="16" xfId="0" applyNumberFormat="1" applyFont="1" applyBorder="1" applyAlignment="1">
      <alignment horizontal="left" vertical="center" wrapText="1"/>
    </xf>
    <xf numFmtId="192" fontId="2" fillId="0" borderId="17" xfId="0" applyNumberFormat="1" applyFont="1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 wrapText="1"/>
    </xf>
    <xf numFmtId="1" fontId="14" fillId="0" borderId="1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1" fontId="14" fillId="0" borderId="12" xfId="0" applyNumberFormat="1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192" fontId="2" fillId="0" borderId="20" xfId="0" applyNumberFormat="1" applyFont="1" applyBorder="1" applyAlignment="1">
      <alignment horizontal="left" vertical="center" wrapText="1"/>
    </xf>
    <xf numFmtId="192" fontId="2" fillId="0" borderId="18" xfId="0" applyNumberFormat="1" applyFont="1" applyBorder="1" applyAlignment="1">
      <alignment horizontal="center" vertical="center" wrapText="1"/>
    </xf>
    <xf numFmtId="192" fontId="2" fillId="0" borderId="19" xfId="0" applyNumberFormat="1" applyFont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192" fontId="3" fillId="0" borderId="18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92" fontId="11" fillId="0" borderId="17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92" fontId="2" fillId="0" borderId="10" xfId="0" applyNumberFormat="1" applyFont="1" applyBorder="1" applyAlignment="1">
      <alignment vertical="center"/>
    </xf>
    <xf numFmtId="1" fontId="14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9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192" fontId="3" fillId="0" borderId="24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14" fillId="0" borderId="2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/>
    </xf>
    <xf numFmtId="192" fontId="1" fillId="0" borderId="12" xfId="0" applyNumberFormat="1" applyFont="1" applyBorder="1" applyAlignment="1">
      <alignment vertical="center"/>
    </xf>
    <xf numFmtId="192" fontId="7" fillId="0" borderId="16" xfId="0" applyNumberFormat="1" applyFont="1" applyBorder="1" applyAlignment="1">
      <alignment horizontal="left" vertical="center" wrapText="1"/>
    </xf>
    <xf numFmtId="192" fontId="7" fillId="0" borderId="17" xfId="0" applyNumberFormat="1" applyFont="1" applyBorder="1" applyAlignment="1">
      <alignment horizontal="center" vertical="center" wrapText="1"/>
    </xf>
    <xf numFmtId="1" fontId="14" fillId="0" borderId="27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 wrapText="1"/>
    </xf>
    <xf numFmtId="192" fontId="7" fillId="0" borderId="12" xfId="0" applyNumberFormat="1" applyFont="1" applyBorder="1" applyAlignment="1">
      <alignment vertical="center"/>
    </xf>
    <xf numFmtId="192" fontId="7" fillId="0" borderId="20" xfId="0" applyNumberFormat="1" applyFont="1" applyBorder="1" applyAlignment="1">
      <alignment horizontal="left" vertical="center" wrapText="1"/>
    </xf>
    <xf numFmtId="192" fontId="11" fillId="0" borderId="18" xfId="0" applyNumberFormat="1" applyFont="1" applyBorder="1" applyAlignment="1">
      <alignment horizontal="center" vertical="center"/>
    </xf>
    <xf numFmtId="192" fontId="11" fillId="0" borderId="19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2" fontId="1" fillId="0" borderId="23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192" fontId="9" fillId="0" borderId="23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9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vertical="center"/>
    </xf>
    <xf numFmtId="0" fontId="8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vertical="center"/>
    </xf>
    <xf numFmtId="1" fontId="14" fillId="0" borderId="25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" fontId="14" fillId="0" borderId="0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192" fontId="2" fillId="0" borderId="29" xfId="0" applyNumberFormat="1" applyFont="1" applyBorder="1" applyAlignment="1">
      <alignment horizontal="left" vertical="center"/>
    </xf>
    <xf numFmtId="192" fontId="2" fillId="0" borderId="30" xfId="0" applyNumberFormat="1" applyFont="1" applyBorder="1" applyAlignment="1">
      <alignment horizontal="center" vertical="center"/>
    </xf>
    <xf numFmtId="192" fontId="2" fillId="0" borderId="3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vertical="center"/>
    </xf>
    <xf numFmtId="1" fontId="14" fillId="0" borderId="28" xfId="0" applyNumberFormat="1" applyFont="1" applyBorder="1" applyAlignment="1">
      <alignment vertical="center"/>
    </xf>
    <xf numFmtId="1" fontId="14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left" vertical="center" wrapText="1"/>
    </xf>
    <xf numFmtId="1" fontId="14" fillId="0" borderId="18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1" fontId="14" fillId="0" borderId="32" xfId="0" applyNumberFormat="1" applyFont="1" applyBorder="1" applyAlignment="1">
      <alignment horizontal="left" vertical="center" wrapText="1"/>
    </xf>
    <xf numFmtId="1" fontId="14" fillId="0" borderId="33" xfId="0" applyNumberFormat="1" applyFont="1" applyBorder="1" applyAlignment="1">
      <alignment horizontal="left" vertical="center" wrapText="1"/>
    </xf>
    <xf numFmtId="1" fontId="14" fillId="0" borderId="24" xfId="0" applyNumberFormat="1" applyFont="1" applyBorder="1" applyAlignment="1">
      <alignment horizontal="left" vertical="center" wrapText="1"/>
    </xf>
    <xf numFmtId="1" fontId="14" fillId="0" borderId="34" xfId="0" applyNumberFormat="1" applyFont="1" applyBorder="1" applyAlignment="1">
      <alignment horizontal="left" vertical="center" wrapText="1"/>
    </xf>
    <xf numFmtId="1" fontId="14" fillId="0" borderId="35" xfId="0" applyNumberFormat="1" applyFont="1" applyBorder="1" applyAlignment="1">
      <alignment horizontal="left" vertical="center" wrapText="1"/>
    </xf>
    <xf numFmtId="1" fontId="14" fillId="0" borderId="36" xfId="0" applyNumberFormat="1" applyFont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>
      <alignment horizontal="center" vertical="center" wrapText="1"/>
    </xf>
    <xf numFmtId="2" fontId="1" fillId="0" borderId="43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2" fontId="1" fillId="0" borderId="46" xfId="0" applyNumberFormat="1" applyFont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9"/>
  <sheetViews>
    <sheetView zoomScaleSheetLayoutView="100" zoomScalePageLayoutView="0" workbookViewId="0" topLeftCell="A244">
      <selection activeCell="F249" sqref="F249"/>
    </sheetView>
  </sheetViews>
  <sheetFormatPr defaultColWidth="9.140625" defaultRowHeight="12.75"/>
  <cols>
    <col min="1" max="1" width="20.00390625" style="17" customWidth="1"/>
    <col min="2" max="3" width="8.57421875" style="17" customWidth="1"/>
    <col min="4" max="4" width="9.140625" style="17" customWidth="1"/>
    <col min="5" max="9" width="7.140625" style="17" customWidth="1"/>
    <col min="10" max="10" width="8.57421875" style="17" customWidth="1"/>
    <col min="11" max="15" width="7.140625" style="17" customWidth="1"/>
    <col min="16" max="16" width="8.57421875" style="17" customWidth="1"/>
    <col min="17" max="16384" width="9.140625" style="17" customWidth="1"/>
  </cols>
  <sheetData>
    <row r="1" s="159" customFormat="1" ht="16.5" customHeight="1">
      <c r="A1" s="158" t="s">
        <v>150</v>
      </c>
    </row>
    <row r="2" s="159" customFormat="1" ht="16.5" customHeight="1">
      <c r="A2" s="158" t="s">
        <v>157</v>
      </c>
    </row>
    <row r="3" spans="1:2" s="159" customFormat="1" ht="16.5" customHeight="1" thickBot="1">
      <c r="A3" s="180" t="s">
        <v>152</v>
      </c>
      <c r="B3" s="180"/>
    </row>
    <row r="4" spans="1:17" ht="16.5" customHeight="1">
      <c r="A4" s="192" t="s">
        <v>0</v>
      </c>
      <c r="B4" s="193" t="s">
        <v>40</v>
      </c>
      <c r="C4" s="193" t="s">
        <v>41</v>
      </c>
      <c r="D4" s="193" t="s">
        <v>42</v>
      </c>
      <c r="E4" s="194" t="s">
        <v>1</v>
      </c>
      <c r="F4" s="194"/>
      <c r="G4" s="194"/>
      <c r="H4" s="194" t="s">
        <v>3</v>
      </c>
      <c r="I4" s="194"/>
      <c r="J4" s="194"/>
      <c r="K4" s="194"/>
      <c r="L4" s="194" t="s">
        <v>2</v>
      </c>
      <c r="M4" s="194"/>
      <c r="N4" s="194"/>
      <c r="O4" s="194"/>
      <c r="P4" s="195" t="s">
        <v>43</v>
      </c>
      <c r="Q4" s="55"/>
    </row>
    <row r="5" spans="1:17" ht="16.5" customHeight="1">
      <c r="A5" s="190"/>
      <c r="B5" s="185"/>
      <c r="C5" s="185"/>
      <c r="D5" s="185"/>
      <c r="E5" s="189"/>
      <c r="F5" s="189"/>
      <c r="G5" s="189"/>
      <c r="H5" s="189" t="s">
        <v>4</v>
      </c>
      <c r="I5" s="189"/>
      <c r="J5" s="189"/>
      <c r="K5" s="189"/>
      <c r="L5" s="189"/>
      <c r="M5" s="189"/>
      <c r="N5" s="189"/>
      <c r="O5" s="189"/>
      <c r="P5" s="191"/>
      <c r="Q5" s="55"/>
    </row>
    <row r="6" spans="1:17" ht="16.5" customHeight="1">
      <c r="A6" s="190"/>
      <c r="B6" s="185"/>
      <c r="C6" s="185"/>
      <c r="D6" s="185"/>
      <c r="E6" s="18" t="s">
        <v>5</v>
      </c>
      <c r="F6" s="18" t="s">
        <v>6</v>
      </c>
      <c r="G6" s="18" t="s">
        <v>7</v>
      </c>
      <c r="H6" s="18" t="s">
        <v>10</v>
      </c>
      <c r="I6" s="18" t="s">
        <v>12</v>
      </c>
      <c r="J6" s="18" t="s">
        <v>11</v>
      </c>
      <c r="K6" s="18" t="s">
        <v>13</v>
      </c>
      <c r="L6" s="18" t="s">
        <v>9</v>
      </c>
      <c r="M6" s="18" t="s">
        <v>51</v>
      </c>
      <c r="N6" s="18" t="s">
        <v>52</v>
      </c>
      <c r="O6" s="18" t="s">
        <v>8</v>
      </c>
      <c r="P6" s="191"/>
      <c r="Q6" s="55"/>
    </row>
    <row r="7" spans="1:17" s="35" customFormat="1" ht="16.5" customHeight="1">
      <c r="A7" s="87" t="s">
        <v>14</v>
      </c>
      <c r="B7" s="34"/>
      <c r="C7" s="34"/>
      <c r="D7" s="10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71"/>
      <c r="Q7" s="54"/>
    </row>
    <row r="8" spans="1:17" s="11" customFormat="1" ht="16.5" customHeight="1">
      <c r="A8" s="181" t="s">
        <v>103</v>
      </c>
      <c r="B8" s="182"/>
      <c r="C8" s="182"/>
      <c r="D8" s="10">
        <v>200</v>
      </c>
      <c r="E8" s="16">
        <f>E9+E10+E11+E12+E13</f>
        <v>16.034</v>
      </c>
      <c r="F8" s="16">
        <f aca="true" t="shared" si="0" ref="F8:P8">F9+F10+F11+F12+F13</f>
        <v>14.904</v>
      </c>
      <c r="G8" s="16">
        <f t="shared" si="0"/>
        <v>40.11</v>
      </c>
      <c r="H8" s="16">
        <f t="shared" si="0"/>
        <v>24.54</v>
      </c>
      <c r="I8" s="16">
        <f t="shared" si="0"/>
        <v>31.400000000000002</v>
      </c>
      <c r="J8" s="16">
        <f t="shared" si="0"/>
        <v>203.44</v>
      </c>
      <c r="K8" s="16">
        <f t="shared" si="0"/>
        <v>2.0860000000000003</v>
      </c>
      <c r="L8" s="16">
        <f t="shared" si="0"/>
        <v>0.5680000000000001</v>
      </c>
      <c r="M8" s="16">
        <f t="shared" si="0"/>
        <v>0.089</v>
      </c>
      <c r="N8" s="16">
        <f t="shared" si="0"/>
        <v>0.125</v>
      </c>
      <c r="O8" s="16">
        <f t="shared" si="0"/>
        <v>1.1</v>
      </c>
      <c r="P8" s="71">
        <f t="shared" si="0"/>
        <v>348.96000000000004</v>
      </c>
      <c r="Q8" s="56"/>
    </row>
    <row r="9" spans="1:17" s="22" customFormat="1" ht="16.5" customHeight="1">
      <c r="A9" s="72" t="s">
        <v>104</v>
      </c>
      <c r="B9" s="20">
        <v>96</v>
      </c>
      <c r="C9" s="20">
        <v>70</v>
      </c>
      <c r="D9" s="20"/>
      <c r="E9" s="3">
        <f>17.6*C9/100</f>
        <v>12.32</v>
      </c>
      <c r="F9" s="3">
        <f>12.3*C9/100</f>
        <v>8.61</v>
      </c>
      <c r="G9" s="3">
        <f>0.4*C9/100</f>
        <v>0.28</v>
      </c>
      <c r="H9" s="3">
        <f>10*C9/100</f>
        <v>7</v>
      </c>
      <c r="I9" s="3">
        <f>25*C9/100</f>
        <v>17.5</v>
      </c>
      <c r="J9" s="3">
        <f>210*C9/100</f>
        <v>147</v>
      </c>
      <c r="K9" s="3">
        <f>1.5*C9/100</f>
        <v>1.05</v>
      </c>
      <c r="L9" s="3">
        <f>0.04*C9/100</f>
        <v>0.028000000000000004</v>
      </c>
      <c r="M9" s="3">
        <f>0.07*C9/100</f>
        <v>0.049</v>
      </c>
      <c r="N9" s="3">
        <f>0.15*C9/100</f>
        <v>0.105</v>
      </c>
      <c r="O9" s="3"/>
      <c r="P9" s="76">
        <f>183*C9/100</f>
        <v>128.1</v>
      </c>
      <c r="Q9" s="59"/>
    </row>
    <row r="10" spans="1:17" s="22" customFormat="1" ht="16.5" customHeight="1">
      <c r="A10" s="72" t="s">
        <v>101</v>
      </c>
      <c r="B10" s="20">
        <v>50</v>
      </c>
      <c r="C10" s="20">
        <v>50</v>
      </c>
      <c r="D10" s="20"/>
      <c r="E10" s="21">
        <f>7*C10/100</f>
        <v>3.5</v>
      </c>
      <c r="F10" s="21">
        <f>0.6*C10/100</f>
        <v>0.3</v>
      </c>
      <c r="G10" s="21">
        <f>77.3*C10/100</f>
        <v>38.65</v>
      </c>
      <c r="H10" s="21">
        <f>24*C10/100</f>
        <v>12</v>
      </c>
      <c r="I10" s="21">
        <f>21*C10/100</f>
        <v>10.5</v>
      </c>
      <c r="J10" s="21">
        <f>97*C10/100</f>
        <v>48.5</v>
      </c>
      <c r="K10" s="21">
        <f>1.8*C10/100</f>
        <v>0.9</v>
      </c>
      <c r="L10" s="21"/>
      <c r="M10" s="21">
        <f>0.08*C10/100</f>
        <v>0.04</v>
      </c>
      <c r="N10" s="21">
        <f>0.04*C10/100</f>
        <v>0.02</v>
      </c>
      <c r="O10" s="21"/>
      <c r="P10" s="73">
        <f>323*C10/100</f>
        <v>161.5</v>
      </c>
      <c r="Q10" s="59"/>
    </row>
    <row r="11" spans="1:17" s="22" customFormat="1" ht="16.5" customHeight="1">
      <c r="A11" s="72" t="s">
        <v>59</v>
      </c>
      <c r="B11" s="20">
        <v>6</v>
      </c>
      <c r="C11" s="20">
        <v>6</v>
      </c>
      <c r="D11" s="20"/>
      <c r="E11" s="3"/>
      <c r="F11" s="3">
        <f>99.9*C11/100</f>
        <v>5.994000000000001</v>
      </c>
      <c r="G11" s="3"/>
      <c r="H11" s="3"/>
      <c r="I11" s="3"/>
      <c r="J11" s="3"/>
      <c r="K11" s="3"/>
      <c r="L11" s="3"/>
      <c r="M11" s="3"/>
      <c r="N11" s="3"/>
      <c r="O11" s="3"/>
      <c r="P11" s="76">
        <f>899*C11/100</f>
        <v>53.94</v>
      </c>
      <c r="Q11" s="59"/>
    </row>
    <row r="12" spans="1:17" s="22" customFormat="1" ht="16.5" customHeight="1">
      <c r="A12" s="72" t="s">
        <v>46</v>
      </c>
      <c r="B12" s="20">
        <v>10</v>
      </c>
      <c r="C12" s="20">
        <v>8</v>
      </c>
      <c r="D12" s="20"/>
      <c r="E12" s="23">
        <f>1.7*C12/100</f>
        <v>0.136</v>
      </c>
      <c r="F12" s="23">
        <v>0</v>
      </c>
      <c r="G12" s="23">
        <f>9.5*C12/100</f>
        <v>0.76</v>
      </c>
      <c r="H12" s="23">
        <f>31*C12/100</f>
        <v>2.48</v>
      </c>
      <c r="I12" s="23">
        <f>14*C12/100</f>
        <v>1.12</v>
      </c>
      <c r="J12" s="23">
        <f>58*C12/100</f>
        <v>4.64</v>
      </c>
      <c r="K12" s="23">
        <f>0.8*C12/100</f>
        <v>0.064</v>
      </c>
      <c r="L12" s="23">
        <v>0</v>
      </c>
      <c r="M12" s="23">
        <v>0</v>
      </c>
      <c r="N12" s="23">
        <v>0</v>
      </c>
      <c r="O12" s="23">
        <f>10*C12/100</f>
        <v>0.8</v>
      </c>
      <c r="P12" s="74">
        <f>43*C12/100</f>
        <v>3.44</v>
      </c>
      <c r="Q12" s="59"/>
    </row>
    <row r="13" spans="1:17" s="22" customFormat="1" ht="16.5" customHeight="1">
      <c r="A13" s="72" t="s">
        <v>47</v>
      </c>
      <c r="B13" s="20">
        <v>8.5</v>
      </c>
      <c r="C13" s="20">
        <v>6</v>
      </c>
      <c r="D13" s="20"/>
      <c r="E13" s="24">
        <f>1.3*C13/100</f>
        <v>0.07800000000000001</v>
      </c>
      <c r="F13" s="24"/>
      <c r="G13" s="24">
        <f>7*C13/100</f>
        <v>0.42</v>
      </c>
      <c r="H13" s="24">
        <f>51*C13/100</f>
        <v>3.06</v>
      </c>
      <c r="I13" s="24">
        <f>38*C13/100</f>
        <v>2.28</v>
      </c>
      <c r="J13" s="24">
        <f>55*C13/100</f>
        <v>3.3</v>
      </c>
      <c r="K13" s="24">
        <f>1.2*C13/100</f>
        <v>0.072</v>
      </c>
      <c r="L13" s="24">
        <f>9*C13/100</f>
        <v>0.54</v>
      </c>
      <c r="M13" s="24">
        <v>0</v>
      </c>
      <c r="N13" s="24">
        <v>0</v>
      </c>
      <c r="O13" s="24">
        <f>5*C13/100</f>
        <v>0.3</v>
      </c>
      <c r="P13" s="75">
        <f>33*C13/100</f>
        <v>1.98</v>
      </c>
      <c r="Q13" s="59"/>
    </row>
    <row r="14" spans="1:17" s="22" customFormat="1" ht="16.5" customHeight="1">
      <c r="A14" s="72" t="s">
        <v>60</v>
      </c>
      <c r="B14" s="20">
        <v>5</v>
      </c>
      <c r="C14" s="20">
        <v>5</v>
      </c>
      <c r="D14" s="20"/>
      <c r="E14" s="21">
        <f>3.6*C14/100</f>
        <v>0.18</v>
      </c>
      <c r="F14" s="21"/>
      <c r="G14" s="21">
        <f>11.8*C14/100</f>
        <v>0.59</v>
      </c>
      <c r="H14" s="21">
        <f>20*C14/100</f>
        <v>1</v>
      </c>
      <c r="I14" s="21"/>
      <c r="J14" s="21">
        <f>70*C14/100</f>
        <v>3.5</v>
      </c>
      <c r="K14" s="21">
        <f>2*C14/100</f>
        <v>0.1</v>
      </c>
      <c r="L14" s="21">
        <f>1.8*C14/100</f>
        <v>0.09</v>
      </c>
      <c r="M14" s="21"/>
      <c r="N14" s="21"/>
      <c r="O14" s="21">
        <f>26*C14/100</f>
        <v>1.3</v>
      </c>
      <c r="P14" s="73">
        <f>63*C14/100</f>
        <v>3.15</v>
      </c>
      <c r="Q14" s="59"/>
    </row>
    <row r="15" spans="1:17" s="11" customFormat="1" ht="16.5" customHeight="1">
      <c r="A15" s="70" t="s">
        <v>132</v>
      </c>
      <c r="B15" s="9">
        <v>53</v>
      </c>
      <c r="C15" s="9">
        <v>50</v>
      </c>
      <c r="D15" s="10">
        <v>50</v>
      </c>
      <c r="E15" s="16">
        <f>0.6*C15/100</f>
        <v>0.3</v>
      </c>
      <c r="F15" s="16"/>
      <c r="G15" s="16">
        <f>2.9*C15/100</f>
        <v>1.45</v>
      </c>
      <c r="H15" s="16">
        <f>8*C15/100</f>
        <v>4</v>
      </c>
      <c r="I15" s="16"/>
      <c r="J15" s="16">
        <f>35*C15/100</f>
        <v>17.5</v>
      </c>
      <c r="K15" s="16">
        <f>0.5*C15/100</f>
        <v>0.25</v>
      </c>
      <c r="L15" s="16">
        <f>0.5*C15/100</f>
        <v>0.25</v>
      </c>
      <c r="M15" s="16">
        <f>0.04*C15/100</f>
        <v>0.02</v>
      </c>
      <c r="N15" s="16">
        <f>0.03*C15/100</f>
        <v>0.015</v>
      </c>
      <c r="O15" s="16">
        <f>20*C15/100</f>
        <v>10</v>
      </c>
      <c r="P15" s="71">
        <f>14*C15/100</f>
        <v>7</v>
      </c>
      <c r="Q15" s="56"/>
    </row>
    <row r="16" spans="1:17" s="11" customFormat="1" ht="16.5" customHeight="1">
      <c r="A16" s="181" t="s">
        <v>38</v>
      </c>
      <c r="B16" s="182"/>
      <c r="C16" s="182"/>
      <c r="D16" s="10">
        <v>200</v>
      </c>
      <c r="E16" s="16">
        <f aca="true" t="shared" si="1" ref="E16:P16">E17+E18</f>
        <v>0.09600000000000002</v>
      </c>
      <c r="F16" s="16">
        <f t="shared" si="1"/>
        <v>0</v>
      </c>
      <c r="G16" s="16">
        <f t="shared" si="1"/>
        <v>31.46</v>
      </c>
      <c r="H16" s="16">
        <f t="shared" si="1"/>
        <v>0.2</v>
      </c>
      <c r="I16" s="16">
        <f t="shared" si="1"/>
        <v>0</v>
      </c>
      <c r="J16" s="16">
        <f t="shared" si="1"/>
        <v>0</v>
      </c>
      <c r="K16" s="16">
        <f t="shared" si="1"/>
        <v>0.03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71">
        <f t="shared" si="1"/>
        <v>118.52000000000001</v>
      </c>
      <c r="Q16" s="56"/>
    </row>
    <row r="17" spans="1:17" ht="16.5" customHeight="1">
      <c r="A17" s="72" t="s">
        <v>53</v>
      </c>
      <c r="B17" s="20">
        <v>10</v>
      </c>
      <c r="C17" s="20">
        <v>10</v>
      </c>
      <c r="D17" s="20"/>
      <c r="E17" s="23"/>
      <c r="F17" s="23"/>
      <c r="G17" s="3">
        <f>99.8*C17/100</f>
        <v>9.98</v>
      </c>
      <c r="H17" s="3">
        <f>2*C17/100</f>
        <v>0.2</v>
      </c>
      <c r="I17" s="3"/>
      <c r="J17" s="3"/>
      <c r="K17" s="3">
        <f>0.3*C17/100</f>
        <v>0.03</v>
      </c>
      <c r="L17" s="3"/>
      <c r="M17" s="3"/>
      <c r="N17" s="3"/>
      <c r="O17" s="3"/>
      <c r="P17" s="76">
        <f>374*C17/100</f>
        <v>37.4</v>
      </c>
      <c r="Q17" s="55"/>
    </row>
    <row r="18" spans="1:17" ht="16.5" customHeight="1">
      <c r="A18" s="72" t="s">
        <v>71</v>
      </c>
      <c r="B18" s="20">
        <v>24</v>
      </c>
      <c r="C18" s="20">
        <v>24</v>
      </c>
      <c r="D18" s="20"/>
      <c r="E18" s="21">
        <f>0.4*C18/100</f>
        <v>0.09600000000000002</v>
      </c>
      <c r="F18" s="21"/>
      <c r="G18" s="21">
        <f>89.5*C18/100</f>
        <v>21.48</v>
      </c>
      <c r="H18" s="21"/>
      <c r="I18" s="21"/>
      <c r="J18" s="21"/>
      <c r="K18" s="21"/>
      <c r="L18" s="21"/>
      <c r="M18" s="21"/>
      <c r="N18" s="21"/>
      <c r="O18" s="21"/>
      <c r="P18" s="73">
        <f>338*C18/100</f>
        <v>81.12</v>
      </c>
      <c r="Q18" s="55"/>
    </row>
    <row r="19" spans="1:17" s="19" customFormat="1" ht="16.5" customHeight="1">
      <c r="A19" s="70" t="s">
        <v>16</v>
      </c>
      <c r="B19" s="9">
        <v>40</v>
      </c>
      <c r="C19" s="9">
        <v>40</v>
      </c>
      <c r="D19" s="10">
        <v>40</v>
      </c>
      <c r="E19" s="16">
        <f>7.6*C19/100</f>
        <v>3.04</v>
      </c>
      <c r="F19" s="16">
        <f>0.6*C19/100</f>
        <v>0.24</v>
      </c>
      <c r="G19" s="16">
        <f>52.3*C19/100</f>
        <v>20.92</v>
      </c>
      <c r="H19" s="16">
        <f>20*C19/100</f>
        <v>8</v>
      </c>
      <c r="I19" s="16">
        <f>14*C19/100</f>
        <v>5.6</v>
      </c>
      <c r="J19" s="16">
        <f>65*C19/100</f>
        <v>26</v>
      </c>
      <c r="K19" s="16">
        <f>0.9*C19/100</f>
        <v>0.36</v>
      </c>
      <c r="L19" s="16">
        <v>0</v>
      </c>
      <c r="M19" s="16">
        <f>0.11*C19/100</f>
        <v>0.044000000000000004</v>
      </c>
      <c r="N19" s="16">
        <f>0.06*C19/100</f>
        <v>0.024</v>
      </c>
      <c r="O19" s="16">
        <v>0</v>
      </c>
      <c r="P19" s="71">
        <f>233*C19/100</f>
        <v>93.2</v>
      </c>
      <c r="Q19" s="58"/>
    </row>
    <row r="20" spans="1:17" s="35" customFormat="1" ht="16.5" customHeight="1">
      <c r="A20" s="70" t="s">
        <v>17</v>
      </c>
      <c r="B20" s="9">
        <v>25</v>
      </c>
      <c r="C20" s="9">
        <v>25</v>
      </c>
      <c r="D20" s="10">
        <v>25</v>
      </c>
      <c r="E20" s="16">
        <f>6.5*C20/100</f>
        <v>1.625</v>
      </c>
      <c r="F20" s="16">
        <f>1*C20/100</f>
        <v>0.25</v>
      </c>
      <c r="G20" s="16">
        <f>40.1*C20/100</f>
        <v>10.025</v>
      </c>
      <c r="H20" s="16">
        <f>38*C20/100</f>
        <v>9.5</v>
      </c>
      <c r="I20" s="16">
        <f>49*C20/100</f>
        <v>12.25</v>
      </c>
      <c r="J20" s="16">
        <f>156*C20/100</f>
        <v>39</v>
      </c>
      <c r="K20" s="16">
        <f>2.6*C20/100</f>
        <v>0.65</v>
      </c>
      <c r="L20" s="16">
        <v>0</v>
      </c>
      <c r="M20" s="16">
        <f>0.18*C20/100</f>
        <v>0.045</v>
      </c>
      <c r="N20" s="16">
        <f>0.11*C20/100</f>
        <v>0.0275</v>
      </c>
      <c r="O20" s="16">
        <v>0</v>
      </c>
      <c r="P20" s="71">
        <f>190*C20/100</f>
        <v>47.5</v>
      </c>
      <c r="Q20" s="54"/>
    </row>
    <row r="21" spans="1:17" ht="33" customHeight="1" thickBot="1">
      <c r="A21" s="115" t="s">
        <v>18</v>
      </c>
      <c r="B21" s="116"/>
      <c r="C21" s="116"/>
      <c r="D21" s="116"/>
      <c r="E21" s="117">
        <f>E8+E15+E16+E19+E20</f>
        <v>21.095</v>
      </c>
      <c r="F21" s="117">
        <f aca="true" t="shared" si="2" ref="F21:P21">F8+F15+F16+F19+F20</f>
        <v>15.394</v>
      </c>
      <c r="G21" s="117">
        <f t="shared" si="2"/>
        <v>103.96500000000002</v>
      </c>
      <c r="H21" s="117">
        <f t="shared" si="2"/>
        <v>46.239999999999995</v>
      </c>
      <c r="I21" s="117">
        <f t="shared" si="2"/>
        <v>49.25</v>
      </c>
      <c r="J21" s="117">
        <f t="shared" si="2"/>
        <v>285.94</v>
      </c>
      <c r="K21" s="117">
        <f t="shared" si="2"/>
        <v>3.376</v>
      </c>
      <c r="L21" s="117">
        <f t="shared" si="2"/>
        <v>0.8180000000000001</v>
      </c>
      <c r="M21" s="117">
        <f t="shared" si="2"/>
        <v>0.198</v>
      </c>
      <c r="N21" s="117">
        <f t="shared" si="2"/>
        <v>0.1915</v>
      </c>
      <c r="O21" s="117">
        <f t="shared" si="2"/>
        <v>11.1</v>
      </c>
      <c r="P21" s="118">
        <f t="shared" si="2"/>
        <v>615.1800000000001</v>
      </c>
      <c r="Q21" s="55"/>
    </row>
    <row r="22" spans="1:17" ht="16.5" customHeight="1">
      <c r="A22" s="65" t="s">
        <v>19</v>
      </c>
      <c r="B22" s="66"/>
      <c r="C22" s="66"/>
      <c r="D22" s="67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  <c r="Q22" s="55"/>
    </row>
    <row r="23" spans="1:17" s="35" customFormat="1" ht="16.5" customHeight="1">
      <c r="A23" s="190" t="s">
        <v>0</v>
      </c>
      <c r="B23" s="185" t="s">
        <v>40</v>
      </c>
      <c r="C23" s="185" t="s">
        <v>41</v>
      </c>
      <c r="D23" s="185" t="s">
        <v>42</v>
      </c>
      <c r="E23" s="189" t="s">
        <v>1</v>
      </c>
      <c r="F23" s="189"/>
      <c r="G23" s="189"/>
      <c r="H23" s="189" t="s">
        <v>3</v>
      </c>
      <c r="I23" s="189"/>
      <c r="J23" s="189"/>
      <c r="K23" s="189"/>
      <c r="L23" s="189" t="s">
        <v>2</v>
      </c>
      <c r="M23" s="189"/>
      <c r="N23" s="189"/>
      <c r="O23" s="189"/>
      <c r="P23" s="191" t="s">
        <v>43</v>
      </c>
      <c r="Q23" s="54"/>
    </row>
    <row r="24" spans="1:17" ht="16.5" customHeight="1">
      <c r="A24" s="190"/>
      <c r="B24" s="185"/>
      <c r="C24" s="185"/>
      <c r="D24" s="185"/>
      <c r="E24" s="189"/>
      <c r="F24" s="189"/>
      <c r="G24" s="189"/>
      <c r="H24" s="189" t="s">
        <v>4</v>
      </c>
      <c r="I24" s="189"/>
      <c r="J24" s="189"/>
      <c r="K24" s="189"/>
      <c r="L24" s="189"/>
      <c r="M24" s="189"/>
      <c r="N24" s="189"/>
      <c r="O24" s="189"/>
      <c r="P24" s="191"/>
      <c r="Q24" s="55"/>
    </row>
    <row r="25" spans="1:17" ht="16.5" customHeight="1">
      <c r="A25" s="190"/>
      <c r="B25" s="185"/>
      <c r="C25" s="185"/>
      <c r="D25" s="185"/>
      <c r="E25" s="18" t="s">
        <v>5</v>
      </c>
      <c r="F25" s="18" t="s">
        <v>6</v>
      </c>
      <c r="G25" s="18" t="s">
        <v>7</v>
      </c>
      <c r="H25" s="18" t="s">
        <v>10</v>
      </c>
      <c r="I25" s="18" t="s">
        <v>12</v>
      </c>
      <c r="J25" s="18" t="s">
        <v>11</v>
      </c>
      <c r="K25" s="18" t="s">
        <v>13</v>
      </c>
      <c r="L25" s="18" t="s">
        <v>9</v>
      </c>
      <c r="M25" s="18" t="s">
        <v>51</v>
      </c>
      <c r="N25" s="18" t="s">
        <v>52</v>
      </c>
      <c r="O25" s="18" t="s">
        <v>8</v>
      </c>
      <c r="P25" s="191"/>
      <c r="Q25" s="55"/>
    </row>
    <row r="26" spans="1:17" ht="16.5" customHeight="1">
      <c r="A26" s="181" t="s">
        <v>29</v>
      </c>
      <c r="B26" s="182"/>
      <c r="C26" s="182"/>
      <c r="D26" s="10">
        <v>260</v>
      </c>
      <c r="E26" s="16">
        <f>E27+E28+E29+E30+E31+E32</f>
        <v>2.239</v>
      </c>
      <c r="F26" s="16">
        <f aca="true" t="shared" si="3" ref="F26:O26">F27+F28+F29+F30+F31+F32</f>
        <v>7.031</v>
      </c>
      <c r="G26" s="16">
        <f t="shared" si="3"/>
        <v>11.972</v>
      </c>
      <c r="H26" s="16">
        <f t="shared" si="3"/>
        <v>45.93000000000001</v>
      </c>
      <c r="I26" s="16">
        <f t="shared" si="3"/>
        <v>23.42</v>
      </c>
      <c r="J26" s="16">
        <f t="shared" si="3"/>
        <v>55.32999999999999</v>
      </c>
      <c r="K26" s="16">
        <f t="shared" si="3"/>
        <v>1.08</v>
      </c>
      <c r="L26" s="16">
        <f t="shared" si="3"/>
        <v>1.2022</v>
      </c>
      <c r="M26" s="16">
        <f t="shared" si="3"/>
        <v>0.0732</v>
      </c>
      <c r="N26" s="16">
        <f t="shared" si="3"/>
        <v>0.054000000000000006</v>
      </c>
      <c r="O26" s="16">
        <f t="shared" si="3"/>
        <v>33.88</v>
      </c>
      <c r="P26" s="71">
        <f>P27+P28+P29+P30+P31+P32</f>
        <v>118.01999999999998</v>
      </c>
      <c r="Q26" s="55"/>
    </row>
    <row r="27" spans="1:17" s="22" customFormat="1" ht="16.5" customHeight="1">
      <c r="A27" s="72" t="s">
        <v>49</v>
      </c>
      <c r="B27" s="20">
        <v>50</v>
      </c>
      <c r="C27" s="20">
        <v>36</v>
      </c>
      <c r="D27" s="20"/>
      <c r="E27" s="21">
        <f>2*C27/100</f>
        <v>0.72</v>
      </c>
      <c r="F27" s="21">
        <f>0.1*C27/100</f>
        <v>0.036000000000000004</v>
      </c>
      <c r="G27" s="21">
        <f>19.7*C27/100</f>
        <v>7.092</v>
      </c>
      <c r="H27" s="21">
        <f>10*C27/100</f>
        <v>3.6</v>
      </c>
      <c r="I27" s="21">
        <f>23*C27/100</f>
        <v>8.28</v>
      </c>
      <c r="J27" s="21">
        <f>58*C27/100</f>
        <v>20.88</v>
      </c>
      <c r="K27" s="21">
        <f>0.9*C27/100</f>
        <v>0.324</v>
      </c>
      <c r="L27" s="21">
        <f>0.02*C27/100</f>
        <v>0.0072</v>
      </c>
      <c r="M27" s="21">
        <f>0.12*C27/100</f>
        <v>0.0432</v>
      </c>
      <c r="N27" s="21">
        <f>0.05*C27/100</f>
        <v>0.018000000000000002</v>
      </c>
      <c r="O27" s="21">
        <f>20*C27/100</f>
        <v>7.2</v>
      </c>
      <c r="P27" s="73">
        <f>83*C27/100</f>
        <v>29.88</v>
      </c>
      <c r="Q27" s="59"/>
    </row>
    <row r="28" spans="1:17" s="22" customFormat="1" ht="16.5" customHeight="1">
      <c r="A28" s="72" t="s">
        <v>106</v>
      </c>
      <c r="B28" s="20">
        <v>63</v>
      </c>
      <c r="C28" s="20">
        <v>50</v>
      </c>
      <c r="D28" s="20"/>
      <c r="E28" s="24">
        <f>1.8*C28/100</f>
        <v>0.9</v>
      </c>
      <c r="F28" s="24"/>
      <c r="G28" s="24">
        <f>5.4*C28/100</f>
        <v>2.7</v>
      </c>
      <c r="H28" s="24">
        <f>48*C28/100</f>
        <v>24</v>
      </c>
      <c r="I28" s="24">
        <f>16*C28/100</f>
        <v>8</v>
      </c>
      <c r="J28" s="24">
        <f>31*C28/100</f>
        <v>15.5</v>
      </c>
      <c r="K28" s="24">
        <f>1*C28/100</f>
        <v>0.5</v>
      </c>
      <c r="L28" s="24">
        <f>0.02*C28/100</f>
        <v>0.01</v>
      </c>
      <c r="M28" s="24">
        <f>0.06*C28/100</f>
        <v>0.03</v>
      </c>
      <c r="N28" s="24">
        <f>0.05*C28/100</f>
        <v>0.025</v>
      </c>
      <c r="O28" s="24">
        <f>50*C28/100</f>
        <v>25</v>
      </c>
      <c r="P28" s="75">
        <f>28*C28/100</f>
        <v>14</v>
      </c>
      <c r="Q28" s="59"/>
    </row>
    <row r="29" spans="1:17" s="22" customFormat="1" ht="16.5" customHeight="1">
      <c r="A29" s="72" t="s">
        <v>46</v>
      </c>
      <c r="B29" s="20">
        <v>12</v>
      </c>
      <c r="C29" s="20">
        <v>10</v>
      </c>
      <c r="D29" s="20"/>
      <c r="E29" s="23">
        <f>1.7*C29/100</f>
        <v>0.17</v>
      </c>
      <c r="F29" s="23">
        <v>0</v>
      </c>
      <c r="G29" s="23">
        <f>9.5*C29/100</f>
        <v>0.95</v>
      </c>
      <c r="H29" s="23">
        <f>31*C29/100</f>
        <v>3.1</v>
      </c>
      <c r="I29" s="23">
        <f>14*C29/100</f>
        <v>1.4</v>
      </c>
      <c r="J29" s="23">
        <f>58*C29/100</f>
        <v>5.8</v>
      </c>
      <c r="K29" s="23">
        <f>0.8*C29/100</f>
        <v>0.08</v>
      </c>
      <c r="L29" s="23">
        <v>0</v>
      </c>
      <c r="M29" s="23">
        <v>0</v>
      </c>
      <c r="N29" s="23">
        <v>0</v>
      </c>
      <c r="O29" s="23">
        <f>10*C29/100</f>
        <v>1</v>
      </c>
      <c r="P29" s="74">
        <f>43*C29/100</f>
        <v>4.3</v>
      </c>
      <c r="Q29" s="59"/>
    </row>
    <row r="30" spans="1:17" s="119" customFormat="1" ht="16.5" customHeight="1">
      <c r="A30" s="72" t="s">
        <v>47</v>
      </c>
      <c r="B30" s="20">
        <v>16</v>
      </c>
      <c r="C30" s="20">
        <v>13</v>
      </c>
      <c r="D30" s="20"/>
      <c r="E30" s="24">
        <f>1.3*C30/100</f>
        <v>0.169</v>
      </c>
      <c r="F30" s="24"/>
      <c r="G30" s="24">
        <f>7*C30/100</f>
        <v>0.91</v>
      </c>
      <c r="H30" s="24">
        <f>51*C30/100</f>
        <v>6.63</v>
      </c>
      <c r="I30" s="24">
        <f>38*C30/100</f>
        <v>4.94</v>
      </c>
      <c r="J30" s="24">
        <f>55*C30/100</f>
        <v>7.15</v>
      </c>
      <c r="K30" s="24">
        <f>1.2*C30/100</f>
        <v>0.156</v>
      </c>
      <c r="L30" s="24">
        <f>9*C30/100</f>
        <v>1.17</v>
      </c>
      <c r="M30" s="24">
        <v>0</v>
      </c>
      <c r="N30" s="24">
        <v>0</v>
      </c>
      <c r="O30" s="24">
        <f>5*C30/100</f>
        <v>0.65</v>
      </c>
      <c r="P30" s="75">
        <f>33*C30/100</f>
        <v>4.29</v>
      </c>
      <c r="Q30" s="128"/>
    </row>
    <row r="31" spans="1:17" s="22" customFormat="1" ht="16.5" customHeight="1">
      <c r="A31" s="72" t="s">
        <v>59</v>
      </c>
      <c r="B31" s="20">
        <v>5</v>
      </c>
      <c r="C31" s="20">
        <v>5</v>
      </c>
      <c r="D31" s="20"/>
      <c r="E31" s="24"/>
      <c r="F31" s="3">
        <f>99.9*C31/100</f>
        <v>4.995</v>
      </c>
      <c r="G31" s="3"/>
      <c r="H31" s="3"/>
      <c r="I31" s="3"/>
      <c r="J31" s="3"/>
      <c r="K31" s="3"/>
      <c r="L31" s="3"/>
      <c r="M31" s="3"/>
      <c r="N31" s="3"/>
      <c r="O31" s="3"/>
      <c r="P31" s="76">
        <f>899*C31/100</f>
        <v>44.95</v>
      </c>
      <c r="Q31" s="59"/>
    </row>
    <row r="32" spans="1:17" s="22" customFormat="1" ht="16.5" customHeight="1">
      <c r="A32" s="72" t="s">
        <v>61</v>
      </c>
      <c r="B32" s="20">
        <v>10</v>
      </c>
      <c r="C32" s="20">
        <v>10</v>
      </c>
      <c r="D32" s="20"/>
      <c r="E32" s="3">
        <f>2.8*C32/100</f>
        <v>0.28</v>
      </c>
      <c r="F32" s="3">
        <f>20*C32/100</f>
        <v>2</v>
      </c>
      <c r="G32" s="3">
        <f>3.2*C32/100</f>
        <v>0.32</v>
      </c>
      <c r="H32" s="3">
        <f>86*C32/100</f>
        <v>8.6</v>
      </c>
      <c r="I32" s="3">
        <f>8*C32/100</f>
        <v>0.8</v>
      </c>
      <c r="J32" s="3">
        <f>60*C32/100</f>
        <v>6</v>
      </c>
      <c r="K32" s="3">
        <f>0.2*C32/100</f>
        <v>0.02</v>
      </c>
      <c r="L32" s="3">
        <f>0.15*C32/100</f>
        <v>0.015</v>
      </c>
      <c r="M32" s="3"/>
      <c r="N32" s="3">
        <f>0.11*C32/100</f>
        <v>0.011000000000000001</v>
      </c>
      <c r="O32" s="3">
        <f>0.3*C32/100</f>
        <v>0.03</v>
      </c>
      <c r="P32" s="76">
        <f>206*C32/100</f>
        <v>20.6</v>
      </c>
      <c r="Q32" s="59"/>
    </row>
    <row r="33" spans="1:17" ht="16.5" customHeight="1">
      <c r="A33" s="181" t="s">
        <v>114</v>
      </c>
      <c r="B33" s="182"/>
      <c r="C33" s="182"/>
      <c r="D33" s="10">
        <v>100</v>
      </c>
      <c r="E33" s="7">
        <f>E34+E35+E36+E37</f>
        <v>19.035999999999998</v>
      </c>
      <c r="F33" s="7">
        <f aca="true" t="shared" si="4" ref="F33:P33">F34+F35+F36+F37</f>
        <v>7.598</v>
      </c>
      <c r="G33" s="7">
        <f t="shared" si="4"/>
        <v>17.594</v>
      </c>
      <c r="H33" s="7">
        <f t="shared" si="4"/>
        <v>7.88</v>
      </c>
      <c r="I33" s="7">
        <f t="shared" si="4"/>
        <v>5.24</v>
      </c>
      <c r="J33" s="7">
        <f t="shared" si="4"/>
        <v>24.939999999999998</v>
      </c>
      <c r="K33" s="7">
        <f t="shared" si="4"/>
        <v>0.346</v>
      </c>
      <c r="L33" s="7">
        <f t="shared" si="4"/>
        <v>0</v>
      </c>
      <c r="M33" s="7">
        <f t="shared" si="4"/>
        <v>0.0368</v>
      </c>
      <c r="N33" s="7">
        <f t="shared" si="4"/>
        <v>0.0108</v>
      </c>
      <c r="O33" s="7">
        <f t="shared" si="4"/>
        <v>0.8</v>
      </c>
      <c r="P33" s="92">
        <f t="shared" si="4"/>
        <v>212.01999999999998</v>
      </c>
      <c r="Q33" s="55"/>
    </row>
    <row r="34" spans="1:17" s="22" customFormat="1" ht="16.5" customHeight="1">
      <c r="A34" s="72" t="s">
        <v>46</v>
      </c>
      <c r="B34" s="20">
        <v>10</v>
      </c>
      <c r="C34" s="20">
        <v>8</v>
      </c>
      <c r="D34" s="20"/>
      <c r="E34" s="23">
        <f>1.7*C34/100</f>
        <v>0.136</v>
      </c>
      <c r="F34" s="23">
        <v>0</v>
      </c>
      <c r="G34" s="23">
        <f>9.5*C34/100</f>
        <v>0.76</v>
      </c>
      <c r="H34" s="23">
        <f>31*C34/100</f>
        <v>2.48</v>
      </c>
      <c r="I34" s="23">
        <f>14*C34/100</f>
        <v>1.12</v>
      </c>
      <c r="J34" s="23">
        <f>58*C34/100</f>
        <v>4.64</v>
      </c>
      <c r="K34" s="23">
        <f>0.8*C34/100</f>
        <v>0.064</v>
      </c>
      <c r="L34" s="23">
        <v>0</v>
      </c>
      <c r="M34" s="23">
        <v>0</v>
      </c>
      <c r="N34" s="23">
        <v>0</v>
      </c>
      <c r="O34" s="23">
        <f>10*C34/100</f>
        <v>0.8</v>
      </c>
      <c r="P34" s="74">
        <f>43*C34/100</f>
        <v>3.44</v>
      </c>
      <c r="Q34" s="59"/>
    </row>
    <row r="35" spans="1:17" s="22" customFormat="1" ht="16.5" customHeight="1">
      <c r="A35" s="72" t="s">
        <v>85</v>
      </c>
      <c r="B35" s="20">
        <v>75</v>
      </c>
      <c r="C35" s="20">
        <v>74</v>
      </c>
      <c r="D35" s="20"/>
      <c r="E35" s="23">
        <f>22.3*C35/100</f>
        <v>16.502</v>
      </c>
      <c r="F35" s="23">
        <f>10*C35/100</f>
        <v>7.4</v>
      </c>
      <c r="G35" s="23"/>
      <c r="H35" s="23"/>
      <c r="I35" s="23"/>
      <c r="J35" s="23"/>
      <c r="K35" s="23"/>
      <c r="L35" s="23"/>
      <c r="M35" s="23"/>
      <c r="N35" s="23"/>
      <c r="O35" s="23"/>
      <c r="P35" s="74">
        <f>181*C35/100</f>
        <v>133.94</v>
      </c>
      <c r="Q35" s="59"/>
    </row>
    <row r="36" spans="1:17" s="22" customFormat="1" ht="16.5" customHeight="1">
      <c r="A36" s="72" t="s">
        <v>65</v>
      </c>
      <c r="B36" s="20">
        <v>18</v>
      </c>
      <c r="C36" s="20">
        <v>18</v>
      </c>
      <c r="D36" s="20"/>
      <c r="E36" s="23">
        <f>7.6*C36/100</f>
        <v>1.3679999999999999</v>
      </c>
      <c r="F36" s="23">
        <f>0.6*C36/100</f>
        <v>0.10799999999999998</v>
      </c>
      <c r="G36" s="23">
        <f>52.3*C36/100</f>
        <v>9.414</v>
      </c>
      <c r="H36" s="23">
        <f>20*C36/100</f>
        <v>3.6</v>
      </c>
      <c r="I36" s="23">
        <f>14*C36/100</f>
        <v>2.52</v>
      </c>
      <c r="J36" s="23">
        <f>65*C36/100</f>
        <v>11.7</v>
      </c>
      <c r="K36" s="23">
        <f>0.9*C36/100</f>
        <v>0.162</v>
      </c>
      <c r="L36" s="23">
        <v>0</v>
      </c>
      <c r="M36" s="23">
        <f>0.11*C36/100</f>
        <v>0.019799999999999998</v>
      </c>
      <c r="N36" s="23">
        <f>0.06*C36/100</f>
        <v>0.0108</v>
      </c>
      <c r="O36" s="23">
        <v>0</v>
      </c>
      <c r="P36" s="74">
        <f>233*C36/100</f>
        <v>41.94</v>
      </c>
      <c r="Q36" s="59"/>
    </row>
    <row r="37" spans="1:17" s="22" customFormat="1" ht="16.5" customHeight="1">
      <c r="A37" s="72" t="s">
        <v>64</v>
      </c>
      <c r="B37" s="20">
        <v>10</v>
      </c>
      <c r="C37" s="20">
        <v>10</v>
      </c>
      <c r="D37" s="20"/>
      <c r="E37" s="3">
        <f>10.3*C37/100</f>
        <v>1.03</v>
      </c>
      <c r="F37" s="3">
        <f>0.9*C37/100</f>
        <v>0.09</v>
      </c>
      <c r="G37" s="3">
        <f>74.2*C37/100</f>
        <v>7.42</v>
      </c>
      <c r="H37" s="3">
        <f>18*C37/100</f>
        <v>1.8</v>
      </c>
      <c r="I37" s="3">
        <f>16*C37/100</f>
        <v>1.6</v>
      </c>
      <c r="J37" s="3">
        <f>86*C37/100</f>
        <v>8.6</v>
      </c>
      <c r="K37" s="3">
        <f>1.2*C37/100</f>
        <v>0.12</v>
      </c>
      <c r="L37" s="3"/>
      <c r="M37" s="3">
        <f>0.17*C37/100</f>
        <v>0.017</v>
      </c>
      <c r="N37" s="3"/>
      <c r="O37" s="3"/>
      <c r="P37" s="76">
        <f>327*C37/100</f>
        <v>32.7</v>
      </c>
      <c r="Q37" s="59"/>
    </row>
    <row r="38" spans="1:17" s="22" customFormat="1" ht="16.5" customHeight="1">
      <c r="A38" s="72" t="s">
        <v>59</v>
      </c>
      <c r="B38" s="20">
        <v>6</v>
      </c>
      <c r="C38" s="20">
        <v>6</v>
      </c>
      <c r="D38" s="20"/>
      <c r="E38" s="3"/>
      <c r="F38" s="3">
        <f>99.9*C38/100</f>
        <v>5.994000000000001</v>
      </c>
      <c r="G38" s="3"/>
      <c r="H38" s="3"/>
      <c r="I38" s="3"/>
      <c r="J38" s="3"/>
      <c r="K38" s="3"/>
      <c r="L38" s="3"/>
      <c r="M38" s="3"/>
      <c r="N38" s="3"/>
      <c r="O38" s="3"/>
      <c r="P38" s="76">
        <f>899*C38/100</f>
        <v>53.94</v>
      </c>
      <c r="Q38" s="59"/>
    </row>
    <row r="39" spans="1:17" s="22" customFormat="1" ht="16.5" customHeight="1">
      <c r="A39" s="72" t="s">
        <v>63</v>
      </c>
      <c r="B39" s="20">
        <v>5</v>
      </c>
      <c r="C39" s="20">
        <v>5</v>
      </c>
      <c r="D39" s="20"/>
      <c r="E39" s="3">
        <f>1.3*C39/100</f>
        <v>0.065</v>
      </c>
      <c r="F39" s="3">
        <f>72.5*C39/100</f>
        <v>3.625</v>
      </c>
      <c r="G39" s="3">
        <f>0.9*C39/100</f>
        <v>0.045</v>
      </c>
      <c r="H39" s="3">
        <f>24*C39/100</f>
        <v>1.2</v>
      </c>
      <c r="I39" s="3">
        <f>3*C39/100</f>
        <v>0.15</v>
      </c>
      <c r="J39" s="3">
        <f>20*C39/100</f>
        <v>1</v>
      </c>
      <c r="K39" s="3">
        <f>0.2*C39/100</f>
        <v>0.01</v>
      </c>
      <c r="L39" s="3">
        <f>0.4*C39/100</f>
        <v>0.02</v>
      </c>
      <c r="M39" s="3"/>
      <c r="N39" s="3"/>
      <c r="O39" s="3"/>
      <c r="P39" s="76">
        <f>661*C39/100</f>
        <v>33.05</v>
      </c>
      <c r="Q39" s="59"/>
    </row>
    <row r="40" spans="1:17" ht="16.5" customHeight="1">
      <c r="A40" s="181" t="s">
        <v>25</v>
      </c>
      <c r="B40" s="182"/>
      <c r="C40" s="182"/>
      <c r="D40" s="10">
        <v>180</v>
      </c>
      <c r="E40" s="16">
        <f aca="true" t="shared" si="5" ref="E40:P40">E41+E42</f>
        <v>6.6049999999999995</v>
      </c>
      <c r="F40" s="16">
        <f t="shared" si="5"/>
        <v>5.143</v>
      </c>
      <c r="G40" s="16">
        <f t="shared" si="5"/>
        <v>45.316</v>
      </c>
      <c r="H40" s="16">
        <f t="shared" si="5"/>
        <v>16.080000000000002</v>
      </c>
      <c r="I40" s="16">
        <f t="shared" si="5"/>
        <v>27.63</v>
      </c>
      <c r="J40" s="16">
        <f t="shared" si="5"/>
        <v>71.96000000000001</v>
      </c>
      <c r="K40" s="16">
        <f t="shared" si="5"/>
        <v>1.293</v>
      </c>
      <c r="L40" s="16">
        <f t="shared" si="5"/>
        <v>0.024000000000000004</v>
      </c>
      <c r="M40" s="16">
        <f t="shared" si="5"/>
        <v>0.1525</v>
      </c>
      <c r="N40" s="16">
        <f t="shared" si="5"/>
        <v>0.07319999999999999</v>
      </c>
      <c r="O40" s="16">
        <f t="shared" si="5"/>
        <v>0</v>
      </c>
      <c r="P40" s="71">
        <f t="shared" si="5"/>
        <v>242.79</v>
      </c>
      <c r="Q40" s="55"/>
    </row>
    <row r="41" spans="1:17" ht="16.5" customHeight="1">
      <c r="A41" s="72" t="s">
        <v>70</v>
      </c>
      <c r="B41" s="20">
        <v>61</v>
      </c>
      <c r="C41" s="20">
        <v>61</v>
      </c>
      <c r="D41" s="20"/>
      <c r="E41" s="23">
        <f>10.7*C41/100</f>
        <v>6.526999999999999</v>
      </c>
      <c r="F41" s="23">
        <f>1.3*C41/100</f>
        <v>0.7929999999999999</v>
      </c>
      <c r="G41" s="23">
        <f>74.2*C41/100</f>
        <v>45.262</v>
      </c>
      <c r="H41" s="23">
        <f>24*C41/100</f>
        <v>14.64</v>
      </c>
      <c r="I41" s="23">
        <f>45*C41/100</f>
        <v>27.45</v>
      </c>
      <c r="J41" s="23">
        <f>116*C41/100</f>
        <v>70.76</v>
      </c>
      <c r="K41" s="23">
        <f>2.1*C41/100</f>
        <v>1.281</v>
      </c>
      <c r="L41" s="23"/>
      <c r="M41" s="23">
        <f>0.25*C41/100</f>
        <v>0.1525</v>
      </c>
      <c r="N41" s="23">
        <f>0.12*C41/100</f>
        <v>0.07319999999999999</v>
      </c>
      <c r="O41" s="23"/>
      <c r="P41" s="74">
        <f>333*C41/100</f>
        <v>203.13</v>
      </c>
      <c r="Q41" s="55"/>
    </row>
    <row r="42" spans="1:17" ht="16.5" customHeight="1">
      <c r="A42" s="72" t="s">
        <v>63</v>
      </c>
      <c r="B42" s="20">
        <v>6</v>
      </c>
      <c r="C42" s="20">
        <v>6</v>
      </c>
      <c r="D42" s="20"/>
      <c r="E42" s="3">
        <f>1.3*C42/100</f>
        <v>0.07800000000000001</v>
      </c>
      <c r="F42" s="3">
        <f>72.5*C42/100</f>
        <v>4.35</v>
      </c>
      <c r="G42" s="3">
        <f>0.9*C42/100</f>
        <v>0.054000000000000006</v>
      </c>
      <c r="H42" s="3">
        <f>24*C42/100</f>
        <v>1.44</v>
      </c>
      <c r="I42" s="3">
        <f>3*C42/100</f>
        <v>0.18</v>
      </c>
      <c r="J42" s="3">
        <f>20*C42/100</f>
        <v>1.2</v>
      </c>
      <c r="K42" s="3">
        <f>0.2*C42/100</f>
        <v>0.012000000000000002</v>
      </c>
      <c r="L42" s="3">
        <f>0.4*C42/100</f>
        <v>0.024000000000000004</v>
      </c>
      <c r="M42" s="3"/>
      <c r="N42" s="3"/>
      <c r="O42" s="3"/>
      <c r="P42" s="76">
        <f>661*C42/100</f>
        <v>39.66</v>
      </c>
      <c r="Q42" s="55"/>
    </row>
    <row r="43" spans="1:17" ht="16.5" customHeight="1">
      <c r="A43" s="70" t="s">
        <v>16</v>
      </c>
      <c r="B43" s="9">
        <v>60</v>
      </c>
      <c r="C43" s="9">
        <v>60</v>
      </c>
      <c r="D43" s="10">
        <v>60</v>
      </c>
      <c r="E43" s="16">
        <f>7.6*C43/100</f>
        <v>4.56</v>
      </c>
      <c r="F43" s="16">
        <f>0.6*C43/100</f>
        <v>0.36</v>
      </c>
      <c r="G43" s="16">
        <f>52.3*C43/100</f>
        <v>31.38</v>
      </c>
      <c r="H43" s="16">
        <f>20*C43/100</f>
        <v>12</v>
      </c>
      <c r="I43" s="16">
        <f>14*C43/100</f>
        <v>8.4</v>
      </c>
      <c r="J43" s="16">
        <f>65*C43/100</f>
        <v>39</v>
      </c>
      <c r="K43" s="16">
        <f>0.9*C43/100</f>
        <v>0.54</v>
      </c>
      <c r="L43" s="16">
        <v>0</v>
      </c>
      <c r="M43" s="16">
        <f>0.11*C43/100</f>
        <v>0.066</v>
      </c>
      <c r="N43" s="16">
        <f>0.06*C43/100</f>
        <v>0.036</v>
      </c>
      <c r="O43" s="16">
        <v>0</v>
      </c>
      <c r="P43" s="71">
        <f>233*C43/100</f>
        <v>139.8</v>
      </c>
      <c r="Q43" s="55"/>
    </row>
    <row r="44" spans="1:17" ht="16.5" customHeight="1">
      <c r="A44" s="70" t="s">
        <v>17</v>
      </c>
      <c r="B44" s="9">
        <v>35</v>
      </c>
      <c r="C44" s="9">
        <v>35</v>
      </c>
      <c r="D44" s="10">
        <v>35</v>
      </c>
      <c r="E44" s="16">
        <f>6.5*C44/100</f>
        <v>2.275</v>
      </c>
      <c r="F44" s="16">
        <f>1*C44/100</f>
        <v>0.35</v>
      </c>
      <c r="G44" s="16">
        <f>40.1*C44/100</f>
        <v>14.035</v>
      </c>
      <c r="H44" s="16">
        <f>38*C44/100</f>
        <v>13.3</v>
      </c>
      <c r="I44" s="16">
        <f>49*C44/100</f>
        <v>17.15</v>
      </c>
      <c r="J44" s="16">
        <f>156*C44/100</f>
        <v>54.6</v>
      </c>
      <c r="K44" s="16">
        <f>2.6*C44/100</f>
        <v>0.91</v>
      </c>
      <c r="L44" s="16">
        <v>0</v>
      </c>
      <c r="M44" s="16">
        <f>0.18*C44/100</f>
        <v>0.063</v>
      </c>
      <c r="N44" s="16">
        <f>0.11*C44/100</f>
        <v>0.0385</v>
      </c>
      <c r="O44" s="16">
        <v>0</v>
      </c>
      <c r="P44" s="71">
        <f>190*C44/100</f>
        <v>66.5</v>
      </c>
      <c r="Q44" s="55"/>
    </row>
    <row r="45" spans="1:17" s="50" customFormat="1" ht="16.5" customHeight="1">
      <c r="A45" s="181" t="s">
        <v>15</v>
      </c>
      <c r="B45" s="182"/>
      <c r="C45" s="182"/>
      <c r="D45" s="10">
        <v>200</v>
      </c>
      <c r="E45" s="16">
        <f aca="true" t="shared" si="6" ref="E45:P45">E46+E47</f>
        <v>0.614</v>
      </c>
      <c r="F45" s="16">
        <f t="shared" si="6"/>
        <v>0</v>
      </c>
      <c r="G45" s="16">
        <f t="shared" si="6"/>
        <v>33.384</v>
      </c>
      <c r="H45" s="16">
        <f t="shared" si="6"/>
        <v>20.799999999999997</v>
      </c>
      <c r="I45" s="16">
        <f t="shared" si="6"/>
        <v>16.8</v>
      </c>
      <c r="J45" s="16">
        <f t="shared" si="6"/>
        <v>22.6</v>
      </c>
      <c r="K45" s="16">
        <f t="shared" si="6"/>
        <v>2.2600000000000002</v>
      </c>
      <c r="L45" s="16">
        <f t="shared" si="6"/>
        <v>0.7</v>
      </c>
      <c r="M45" s="16">
        <f t="shared" si="6"/>
        <v>0.014000000000000002</v>
      </c>
      <c r="N45" s="16">
        <f t="shared" si="6"/>
        <v>0</v>
      </c>
      <c r="O45" s="16">
        <f t="shared" si="6"/>
        <v>0.7</v>
      </c>
      <c r="P45" s="71">
        <f t="shared" si="6"/>
        <v>128.4</v>
      </c>
      <c r="Q45" s="129"/>
    </row>
    <row r="46" spans="1:17" ht="16.5" customHeight="1">
      <c r="A46" s="96" t="s">
        <v>54</v>
      </c>
      <c r="B46" s="2">
        <v>20</v>
      </c>
      <c r="C46" s="2">
        <v>20</v>
      </c>
      <c r="D46" s="2"/>
      <c r="E46" s="3">
        <f>3.07*C46/100</f>
        <v>0.614</v>
      </c>
      <c r="F46" s="3"/>
      <c r="G46" s="3">
        <f>67.12*C46/100</f>
        <v>13.424000000000001</v>
      </c>
      <c r="H46" s="3">
        <f>102*C46/100</f>
        <v>20.4</v>
      </c>
      <c r="I46" s="3">
        <f>84*C46/100</f>
        <v>16.8</v>
      </c>
      <c r="J46" s="3">
        <f>113*C46/100</f>
        <v>22.6</v>
      </c>
      <c r="K46" s="3">
        <f>11*C46/100</f>
        <v>2.2</v>
      </c>
      <c r="L46" s="3">
        <f>3.5*C46/100</f>
        <v>0.7</v>
      </c>
      <c r="M46" s="3">
        <f>0.07*C46/100</f>
        <v>0.014000000000000002</v>
      </c>
      <c r="N46" s="3"/>
      <c r="O46" s="3">
        <f>3.5*C46/100</f>
        <v>0.7</v>
      </c>
      <c r="P46" s="76">
        <f>268*C46/100</f>
        <v>53.6</v>
      </c>
      <c r="Q46" s="55"/>
    </row>
    <row r="47" spans="1:17" s="32" customFormat="1" ht="16.5" customHeight="1">
      <c r="A47" s="96" t="s">
        <v>53</v>
      </c>
      <c r="B47" s="2">
        <v>20</v>
      </c>
      <c r="C47" s="2">
        <v>20</v>
      </c>
      <c r="D47" s="2"/>
      <c r="E47" s="3"/>
      <c r="F47" s="3"/>
      <c r="G47" s="3">
        <f>99.8*C47/100</f>
        <v>19.96</v>
      </c>
      <c r="H47" s="3">
        <f>2*C47/100</f>
        <v>0.4</v>
      </c>
      <c r="I47" s="3"/>
      <c r="J47" s="3"/>
      <c r="K47" s="3">
        <f>0.3*C47/100</f>
        <v>0.06</v>
      </c>
      <c r="L47" s="3"/>
      <c r="M47" s="3"/>
      <c r="N47" s="3"/>
      <c r="O47" s="3"/>
      <c r="P47" s="76">
        <f>374*C47/100</f>
        <v>74.8</v>
      </c>
      <c r="Q47" s="108"/>
    </row>
    <row r="48" spans="1:17" ht="33" customHeight="1">
      <c r="A48" s="130" t="s">
        <v>22</v>
      </c>
      <c r="B48" s="49"/>
      <c r="C48" s="49"/>
      <c r="D48" s="49"/>
      <c r="E48" s="49">
        <f>E26+E33+E40+E43+E44+E45</f>
        <v>35.32899999999999</v>
      </c>
      <c r="F48" s="49">
        <f aca="true" t="shared" si="7" ref="F48:P48">F26+F33+F40+F43+F44+F45</f>
        <v>20.482</v>
      </c>
      <c r="G48" s="49">
        <f t="shared" si="7"/>
        <v>153.68099999999998</v>
      </c>
      <c r="H48" s="49">
        <f t="shared" si="7"/>
        <v>115.99000000000001</v>
      </c>
      <c r="I48" s="49">
        <f t="shared" si="7"/>
        <v>98.64</v>
      </c>
      <c r="J48" s="49">
        <f t="shared" si="7"/>
        <v>268.43</v>
      </c>
      <c r="K48" s="49">
        <f t="shared" si="7"/>
        <v>6.429</v>
      </c>
      <c r="L48" s="49">
        <f t="shared" si="7"/>
        <v>1.9262</v>
      </c>
      <c r="M48" s="49">
        <f t="shared" si="7"/>
        <v>0.4055</v>
      </c>
      <c r="N48" s="49">
        <f t="shared" si="7"/>
        <v>0.21250000000000002</v>
      </c>
      <c r="O48" s="49">
        <f t="shared" si="7"/>
        <v>35.38</v>
      </c>
      <c r="P48" s="131">
        <f t="shared" si="7"/>
        <v>907.5299999999999</v>
      </c>
      <c r="Q48" s="55"/>
    </row>
    <row r="49" spans="1:17" s="134" customFormat="1" ht="37.5" customHeight="1" thickBot="1">
      <c r="A49" s="183" t="s">
        <v>112</v>
      </c>
      <c r="B49" s="184"/>
      <c r="C49" s="184"/>
      <c r="D49" s="79"/>
      <c r="E49" s="79">
        <f aca="true" t="shared" si="8" ref="E49:P49">E21+E48</f>
        <v>56.42399999999999</v>
      </c>
      <c r="F49" s="79">
        <f t="shared" si="8"/>
        <v>35.876</v>
      </c>
      <c r="G49" s="79">
        <f t="shared" si="8"/>
        <v>257.646</v>
      </c>
      <c r="H49" s="79">
        <f t="shared" si="8"/>
        <v>162.23000000000002</v>
      </c>
      <c r="I49" s="79">
        <f t="shared" si="8"/>
        <v>147.89</v>
      </c>
      <c r="J49" s="79">
        <f t="shared" si="8"/>
        <v>554.37</v>
      </c>
      <c r="K49" s="79">
        <f t="shared" si="8"/>
        <v>9.805</v>
      </c>
      <c r="L49" s="79">
        <f t="shared" si="8"/>
        <v>2.7442</v>
      </c>
      <c r="M49" s="79">
        <f t="shared" si="8"/>
        <v>0.6035</v>
      </c>
      <c r="N49" s="79">
        <f t="shared" si="8"/>
        <v>0.404</v>
      </c>
      <c r="O49" s="79">
        <f t="shared" si="8"/>
        <v>46.480000000000004</v>
      </c>
      <c r="P49" s="80">
        <f t="shared" si="8"/>
        <v>1522.71</v>
      </c>
      <c r="Q49" s="133"/>
    </row>
    <row r="50" spans="1:16" s="171" customFormat="1" ht="16.5" customHeight="1">
      <c r="A50" s="170"/>
      <c r="B50" s="170"/>
      <c r="C50" s="170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</row>
    <row r="51" spans="1:16" s="159" customFormat="1" ht="16.5" customHeight="1">
      <c r="A51" s="158" t="s">
        <v>153</v>
      </c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</row>
    <row r="52" spans="1:16" s="159" customFormat="1" ht="16.5" customHeight="1">
      <c r="A52" s="158" t="s">
        <v>157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</row>
    <row r="53" spans="1:16" s="159" customFormat="1" ht="16.5" customHeight="1" thickBot="1">
      <c r="A53" s="180" t="s">
        <v>152</v>
      </c>
      <c r="B53" s="180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</row>
    <row r="54" spans="1:17" s="136" customFormat="1" ht="16.5" customHeight="1">
      <c r="A54" s="65" t="s">
        <v>14</v>
      </c>
      <c r="B54" s="66"/>
      <c r="C54" s="66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9"/>
      <c r="Q54" s="135"/>
    </row>
    <row r="55" spans="1:17" s="11" customFormat="1" ht="16.5" customHeight="1">
      <c r="A55" s="190" t="s">
        <v>0</v>
      </c>
      <c r="B55" s="185" t="s">
        <v>40</v>
      </c>
      <c r="C55" s="185" t="s">
        <v>41</v>
      </c>
      <c r="D55" s="185" t="s">
        <v>42</v>
      </c>
      <c r="E55" s="189" t="s">
        <v>1</v>
      </c>
      <c r="F55" s="189"/>
      <c r="G55" s="189"/>
      <c r="H55" s="189" t="s">
        <v>3</v>
      </c>
      <c r="I55" s="189"/>
      <c r="J55" s="189"/>
      <c r="K55" s="189"/>
      <c r="L55" s="189" t="s">
        <v>2</v>
      </c>
      <c r="M55" s="189"/>
      <c r="N55" s="189"/>
      <c r="O55" s="189"/>
      <c r="P55" s="191" t="s">
        <v>43</v>
      </c>
      <c r="Q55" s="56"/>
    </row>
    <row r="56" spans="1:17" ht="16.5" customHeight="1">
      <c r="A56" s="190"/>
      <c r="B56" s="185"/>
      <c r="C56" s="185"/>
      <c r="D56" s="185"/>
      <c r="E56" s="189"/>
      <c r="F56" s="189"/>
      <c r="G56" s="189"/>
      <c r="H56" s="189" t="s">
        <v>4</v>
      </c>
      <c r="I56" s="189"/>
      <c r="J56" s="189"/>
      <c r="K56" s="189"/>
      <c r="L56" s="189"/>
      <c r="M56" s="189"/>
      <c r="N56" s="189"/>
      <c r="O56" s="189"/>
      <c r="P56" s="191"/>
      <c r="Q56" s="55"/>
    </row>
    <row r="57" spans="1:17" ht="16.5" customHeight="1">
      <c r="A57" s="190"/>
      <c r="B57" s="185"/>
      <c r="C57" s="185"/>
      <c r="D57" s="185"/>
      <c r="E57" s="18" t="s">
        <v>5</v>
      </c>
      <c r="F57" s="18" t="s">
        <v>6</v>
      </c>
      <c r="G57" s="18" t="s">
        <v>7</v>
      </c>
      <c r="H57" s="18" t="s">
        <v>10</v>
      </c>
      <c r="I57" s="18" t="s">
        <v>12</v>
      </c>
      <c r="J57" s="18" t="s">
        <v>11</v>
      </c>
      <c r="K57" s="18" t="s">
        <v>13</v>
      </c>
      <c r="L57" s="18" t="s">
        <v>9</v>
      </c>
      <c r="M57" s="18" t="s">
        <v>51</v>
      </c>
      <c r="N57" s="18" t="s">
        <v>52</v>
      </c>
      <c r="O57" s="18" t="s">
        <v>8</v>
      </c>
      <c r="P57" s="191"/>
      <c r="Q57" s="55"/>
    </row>
    <row r="58" spans="1:17" ht="16.5" customHeight="1">
      <c r="A58" s="181" t="s">
        <v>143</v>
      </c>
      <c r="B58" s="182"/>
      <c r="C58" s="182"/>
      <c r="D58" s="10">
        <v>200</v>
      </c>
      <c r="E58" s="16">
        <f aca="true" t="shared" si="9" ref="E58:P58">E59+E60+E61+E62+E66</f>
        <v>27.470000000000002</v>
      </c>
      <c r="F58" s="16">
        <f t="shared" si="9"/>
        <v>14.18</v>
      </c>
      <c r="G58" s="16">
        <f t="shared" si="9"/>
        <v>31.494999999999997</v>
      </c>
      <c r="H58" s="16">
        <f t="shared" si="9"/>
        <v>256.05</v>
      </c>
      <c r="I58" s="16">
        <f t="shared" si="9"/>
        <v>43.800000000000004</v>
      </c>
      <c r="J58" s="16">
        <f t="shared" si="9"/>
        <v>358.3</v>
      </c>
      <c r="K58" s="16">
        <f t="shared" si="9"/>
        <v>1.275</v>
      </c>
      <c r="L58" s="16">
        <f t="shared" si="9"/>
        <v>0.0925</v>
      </c>
      <c r="M58" s="16">
        <f t="shared" si="9"/>
        <v>0.1285</v>
      </c>
      <c r="N58" s="16">
        <f t="shared" si="9"/>
        <v>0.42700000000000005</v>
      </c>
      <c r="O58" s="16">
        <f t="shared" si="9"/>
        <v>0.75</v>
      </c>
      <c r="P58" s="71">
        <f t="shared" si="9"/>
        <v>360.65000000000003</v>
      </c>
      <c r="Q58" s="55"/>
    </row>
    <row r="59" spans="1:17" s="124" customFormat="1" ht="16.5" customHeight="1">
      <c r="A59" s="72" t="s">
        <v>72</v>
      </c>
      <c r="B59" s="20">
        <v>152</v>
      </c>
      <c r="C59" s="20">
        <v>150</v>
      </c>
      <c r="D59" s="20"/>
      <c r="E59" s="3">
        <f>16.7*C59/100</f>
        <v>25.05</v>
      </c>
      <c r="F59" s="3">
        <f>9*C59/100</f>
        <v>13.5</v>
      </c>
      <c r="G59" s="3">
        <f>1.3*C59/100</f>
        <v>1.95</v>
      </c>
      <c r="H59" s="3">
        <f>164*C59/100</f>
        <v>246</v>
      </c>
      <c r="I59" s="3">
        <f>23*C59/100</f>
        <v>34.5</v>
      </c>
      <c r="J59" s="3">
        <f>220*C59/100</f>
        <v>330</v>
      </c>
      <c r="K59" s="3">
        <f>0.4*C59/100</f>
        <v>0.6</v>
      </c>
      <c r="L59" s="3">
        <f>0.05*C59/100</f>
        <v>0.075</v>
      </c>
      <c r="M59" s="3">
        <v>0.1</v>
      </c>
      <c r="N59" s="3">
        <f>0.27*C59/100</f>
        <v>0.405</v>
      </c>
      <c r="O59" s="3">
        <f>0.5*C59/100</f>
        <v>0.75</v>
      </c>
      <c r="P59" s="76">
        <f>156*C59/100</f>
        <v>234</v>
      </c>
      <c r="Q59" s="167"/>
    </row>
    <row r="60" spans="1:17" s="124" customFormat="1" ht="16.5" customHeight="1">
      <c r="A60" s="72" t="s">
        <v>73</v>
      </c>
      <c r="B60" s="155" t="s">
        <v>148</v>
      </c>
      <c r="C60" s="20">
        <v>5</v>
      </c>
      <c r="D60" s="20"/>
      <c r="E60" s="3">
        <f>12.7*C60/100</f>
        <v>0.635</v>
      </c>
      <c r="F60" s="3">
        <f>11.5*C60/100</f>
        <v>0.575</v>
      </c>
      <c r="G60" s="3">
        <f>0.7*C60/100</f>
        <v>0.035</v>
      </c>
      <c r="H60" s="3">
        <f>55*C60/100</f>
        <v>2.75</v>
      </c>
      <c r="I60" s="3">
        <f>54*C60/100</f>
        <v>2.7</v>
      </c>
      <c r="J60" s="3">
        <f>185*C60/100</f>
        <v>9.25</v>
      </c>
      <c r="K60" s="3">
        <f>2.7*C60/100</f>
        <v>0.135</v>
      </c>
      <c r="L60" s="3">
        <f>0.35*C60/100</f>
        <v>0.0175</v>
      </c>
      <c r="M60" s="3"/>
      <c r="N60" s="3">
        <f>0.44*C60/100</f>
        <v>0.022000000000000002</v>
      </c>
      <c r="O60" s="3"/>
      <c r="P60" s="76">
        <f>157*C60/100</f>
        <v>7.85</v>
      </c>
      <c r="Q60" s="167"/>
    </row>
    <row r="61" spans="1:17" s="35" customFormat="1" ht="16.5" customHeight="1">
      <c r="A61" s="72" t="s">
        <v>142</v>
      </c>
      <c r="B61" s="20">
        <v>15</v>
      </c>
      <c r="C61" s="20">
        <v>15</v>
      </c>
      <c r="D61" s="20"/>
      <c r="E61" s="3">
        <f>11.3*C61/100</f>
        <v>1.695</v>
      </c>
      <c r="F61" s="3">
        <f>0.7*C61/100</f>
        <v>0.105</v>
      </c>
      <c r="G61" s="3">
        <f>73.3*C61/100</f>
        <v>10.995</v>
      </c>
      <c r="H61" s="3">
        <f>20*C61/100</f>
        <v>3</v>
      </c>
      <c r="I61" s="3">
        <f>30*C61/100</f>
        <v>4.5</v>
      </c>
      <c r="J61" s="3">
        <f>84*C61/100</f>
        <v>12.6</v>
      </c>
      <c r="K61" s="3">
        <f>2.3*C61/100</f>
        <v>0.345</v>
      </c>
      <c r="L61" s="3"/>
      <c r="M61" s="3">
        <f>0.14*C61/100</f>
        <v>0.021</v>
      </c>
      <c r="N61" s="3"/>
      <c r="O61" s="3"/>
      <c r="P61" s="76">
        <f>326*C61/100</f>
        <v>48.9</v>
      </c>
      <c r="Q61" s="54"/>
    </row>
    <row r="62" spans="1:17" s="124" customFormat="1" ht="16.5" customHeight="1">
      <c r="A62" s="72" t="s">
        <v>144</v>
      </c>
      <c r="B62" s="20">
        <v>20</v>
      </c>
      <c r="C62" s="20">
        <v>5</v>
      </c>
      <c r="D62" s="20"/>
      <c r="E62" s="3">
        <f>1.8*C62/100</f>
        <v>0.09</v>
      </c>
      <c r="F62" s="3"/>
      <c r="G62" s="3">
        <f>70.9*C62/100</f>
        <v>3.545</v>
      </c>
      <c r="H62" s="3">
        <f>80*C62/100</f>
        <v>4</v>
      </c>
      <c r="I62" s="3">
        <f>42*C62/100</f>
        <v>2.1</v>
      </c>
      <c r="J62" s="3">
        <f>129*C62/100</f>
        <v>6.45</v>
      </c>
      <c r="K62" s="3">
        <f>3*C62/100</f>
        <v>0.15</v>
      </c>
      <c r="L62" s="3"/>
      <c r="M62" s="3">
        <f>0.15*C62/100</f>
        <v>0.0075</v>
      </c>
      <c r="N62" s="3"/>
      <c r="O62" s="3"/>
      <c r="P62" s="76">
        <f>276*C62/100</f>
        <v>13.8</v>
      </c>
      <c r="Q62" s="167"/>
    </row>
    <row r="63" spans="1:17" s="124" customFormat="1" ht="16.5" customHeight="1">
      <c r="A63" s="72" t="s">
        <v>140</v>
      </c>
      <c r="B63" s="20">
        <v>5</v>
      </c>
      <c r="C63" s="20">
        <v>5</v>
      </c>
      <c r="D63" s="20"/>
      <c r="E63" s="3">
        <f>1.3*C63/100</f>
        <v>0.065</v>
      </c>
      <c r="F63" s="3">
        <f>72.5*C63/100</f>
        <v>3.625</v>
      </c>
      <c r="G63" s="3">
        <f>0.9*C63/100</f>
        <v>0.045</v>
      </c>
      <c r="H63" s="3">
        <f>24*C63/100</f>
        <v>1.2</v>
      </c>
      <c r="I63" s="3">
        <f>3*C63/100</f>
        <v>0.15</v>
      </c>
      <c r="J63" s="3">
        <f>20*C63/100</f>
        <v>1</v>
      </c>
      <c r="K63" s="3">
        <f>0.2*C63/100</f>
        <v>0.01</v>
      </c>
      <c r="L63" s="3">
        <f>0.4*C63/100</f>
        <v>0.02</v>
      </c>
      <c r="M63" s="3"/>
      <c r="N63" s="3"/>
      <c r="O63" s="3"/>
      <c r="P63" s="76">
        <f>661*C63/100</f>
        <v>33.05</v>
      </c>
      <c r="Q63" s="167"/>
    </row>
    <row r="64" spans="1:17" s="124" customFormat="1" ht="16.5" customHeight="1">
      <c r="A64" s="72" t="s">
        <v>64</v>
      </c>
      <c r="B64" s="20">
        <v>5</v>
      </c>
      <c r="C64" s="20">
        <v>5</v>
      </c>
      <c r="D64" s="20"/>
      <c r="E64" s="3">
        <f>10.3*C64/100</f>
        <v>0.515</v>
      </c>
      <c r="F64" s="3">
        <f>0.9*C64/100</f>
        <v>0.045</v>
      </c>
      <c r="G64" s="3">
        <f>74.2*C64/100</f>
        <v>3.71</v>
      </c>
      <c r="H64" s="3">
        <f>18*C64/100</f>
        <v>0.9</v>
      </c>
      <c r="I64" s="3">
        <f>16*C64/100</f>
        <v>0.8</v>
      </c>
      <c r="J64" s="3">
        <f>86*C64/100</f>
        <v>4.3</v>
      </c>
      <c r="K64" s="3">
        <f>1.2*C64/100</f>
        <v>0.06</v>
      </c>
      <c r="L64" s="3"/>
      <c r="M64" s="3">
        <f>0.17*C64/100</f>
        <v>0.0085</v>
      </c>
      <c r="N64" s="3"/>
      <c r="O64" s="3"/>
      <c r="P64" s="76">
        <f>327*C64/100</f>
        <v>16.35</v>
      </c>
      <c r="Q64" s="167"/>
    </row>
    <row r="65" spans="1:17" s="124" customFormat="1" ht="16.5" customHeight="1">
      <c r="A65" s="72" t="s">
        <v>61</v>
      </c>
      <c r="B65" s="20">
        <v>5</v>
      </c>
      <c r="C65" s="20">
        <v>5</v>
      </c>
      <c r="D65" s="20"/>
      <c r="E65" s="3">
        <f>2.8*C65/100</f>
        <v>0.14</v>
      </c>
      <c r="F65" s="3">
        <f>20*C65/100</f>
        <v>1</v>
      </c>
      <c r="G65" s="3">
        <f>3.2*C65/100</f>
        <v>0.16</v>
      </c>
      <c r="H65" s="3">
        <f>86*C65/100</f>
        <v>4.3</v>
      </c>
      <c r="I65" s="3">
        <f>8*C65/100</f>
        <v>0.4</v>
      </c>
      <c r="J65" s="3">
        <f>60*C65/100</f>
        <v>3</v>
      </c>
      <c r="K65" s="3">
        <f>0.2*C65/100</f>
        <v>0.01</v>
      </c>
      <c r="L65" s="3">
        <f>0.15*C65/100</f>
        <v>0.0075</v>
      </c>
      <c r="M65" s="3"/>
      <c r="N65" s="3">
        <f>0.11*C65/100</f>
        <v>0.0055000000000000005</v>
      </c>
      <c r="O65" s="3">
        <f>0.3*C65/100</f>
        <v>0.015</v>
      </c>
      <c r="P65" s="76">
        <f>206*C65/100</f>
        <v>10.3</v>
      </c>
      <c r="Q65" s="167"/>
    </row>
    <row r="66" spans="1:17" s="124" customFormat="1" ht="16.5" customHeight="1">
      <c r="A66" s="125" t="s">
        <v>53</v>
      </c>
      <c r="B66" s="2">
        <v>15</v>
      </c>
      <c r="C66" s="2">
        <v>15</v>
      </c>
      <c r="D66" s="2"/>
      <c r="E66" s="3"/>
      <c r="F66" s="3"/>
      <c r="G66" s="3">
        <f>99.8*C66/100</f>
        <v>14.97</v>
      </c>
      <c r="H66" s="3">
        <f>2*C66/100</f>
        <v>0.3</v>
      </c>
      <c r="I66" s="3"/>
      <c r="J66" s="3"/>
      <c r="K66" s="3">
        <f>0.3*C66/100</f>
        <v>0.045</v>
      </c>
      <c r="L66" s="3"/>
      <c r="M66" s="3"/>
      <c r="N66" s="3"/>
      <c r="O66" s="3"/>
      <c r="P66" s="76">
        <f>374*C66/100</f>
        <v>56.1</v>
      </c>
      <c r="Q66" s="167"/>
    </row>
    <row r="67" spans="1:17" s="124" customFormat="1" ht="16.5" customHeight="1">
      <c r="A67" s="72" t="s">
        <v>149</v>
      </c>
      <c r="B67" s="20">
        <v>10</v>
      </c>
      <c r="C67" s="20">
        <v>10</v>
      </c>
      <c r="D67" s="20"/>
      <c r="E67" s="36">
        <f>0.4*C67/100</f>
        <v>0.04</v>
      </c>
      <c r="F67" s="36"/>
      <c r="G67" s="36">
        <f>65.3*C67/100</f>
        <v>6.53</v>
      </c>
      <c r="H67" s="36">
        <f>14*C67/100</f>
        <v>1.4</v>
      </c>
      <c r="I67" s="36">
        <f>7*C67/100</f>
        <v>0.7</v>
      </c>
      <c r="J67" s="36">
        <f>9*C67/100</f>
        <v>0.9</v>
      </c>
      <c r="K67" s="36">
        <f>1.8*C67/100</f>
        <v>0.18</v>
      </c>
      <c r="L67" s="36"/>
      <c r="M67" s="36"/>
      <c r="N67" s="36"/>
      <c r="O67" s="36"/>
      <c r="P67" s="98">
        <f>247*C67/100</f>
        <v>24.7</v>
      </c>
      <c r="Q67" s="167"/>
    </row>
    <row r="68" spans="1:17" ht="16.5" customHeight="1">
      <c r="A68" s="181" t="s">
        <v>115</v>
      </c>
      <c r="B68" s="182"/>
      <c r="C68" s="182"/>
      <c r="D68" s="10">
        <v>200</v>
      </c>
      <c r="E68" s="16">
        <f>E69+E70+E71</f>
        <v>2.2560000000000002</v>
      </c>
      <c r="F68" s="16">
        <f aca="true" t="shared" si="10" ref="F68:P68">F69+F70+F71</f>
        <v>1.5</v>
      </c>
      <c r="G68" s="16">
        <f t="shared" si="10"/>
        <v>25.524</v>
      </c>
      <c r="H68" s="16">
        <f t="shared" si="10"/>
        <v>55.54</v>
      </c>
      <c r="I68" s="16">
        <f t="shared" si="10"/>
        <v>8.34</v>
      </c>
      <c r="J68" s="16">
        <f t="shared" si="10"/>
        <v>47.4</v>
      </c>
      <c r="K68" s="16">
        <f t="shared" si="10"/>
        <v>0.126</v>
      </c>
      <c r="L68" s="16">
        <f t="shared" si="10"/>
        <v>0.015</v>
      </c>
      <c r="M68" s="16">
        <f t="shared" si="10"/>
        <v>0.012000000000000002</v>
      </c>
      <c r="N68" s="16">
        <f t="shared" si="10"/>
        <v>0.07800000000000001</v>
      </c>
      <c r="O68" s="16">
        <f t="shared" si="10"/>
        <v>0.24</v>
      </c>
      <c r="P68" s="71">
        <f t="shared" si="10"/>
        <v>133.7</v>
      </c>
      <c r="Q68" s="55"/>
    </row>
    <row r="69" spans="1:17" s="28" customFormat="1" ht="16.5" customHeight="1">
      <c r="A69" s="72" t="s">
        <v>145</v>
      </c>
      <c r="B69" s="20">
        <v>8</v>
      </c>
      <c r="C69" s="20">
        <v>8</v>
      </c>
      <c r="D69" s="20"/>
      <c r="E69" s="23">
        <f>9*C69/100</f>
        <v>0.72</v>
      </c>
      <c r="F69" s="23"/>
      <c r="G69" s="23">
        <f>40*C69/100</f>
        <v>3.2</v>
      </c>
      <c r="H69" s="23"/>
      <c r="I69" s="23"/>
      <c r="J69" s="23"/>
      <c r="K69" s="23"/>
      <c r="L69" s="23"/>
      <c r="M69" s="23"/>
      <c r="N69" s="23"/>
      <c r="O69" s="23"/>
      <c r="P69" s="74">
        <f>380*C69/100</f>
        <v>30.4</v>
      </c>
      <c r="Q69" s="60"/>
    </row>
    <row r="70" spans="1:17" s="28" customFormat="1" ht="16.5" customHeight="1">
      <c r="A70" s="72" t="s">
        <v>50</v>
      </c>
      <c r="B70" s="20">
        <v>6</v>
      </c>
      <c r="C70" s="20">
        <v>6</v>
      </c>
      <c r="D70" s="20"/>
      <c r="E70" s="23">
        <f>25.6*C70/100</f>
        <v>1.5360000000000003</v>
      </c>
      <c r="F70" s="23">
        <f>25*C70/100</f>
        <v>1.5</v>
      </c>
      <c r="G70" s="23">
        <f>39.4*C70/100</f>
        <v>2.364</v>
      </c>
      <c r="H70" s="23">
        <f>919*C70/100</f>
        <v>55.14</v>
      </c>
      <c r="I70" s="23">
        <f>139*C70/100</f>
        <v>8.34</v>
      </c>
      <c r="J70" s="23">
        <f>790*C70/100</f>
        <v>47.4</v>
      </c>
      <c r="K70" s="23">
        <f>1.1*C70/100</f>
        <v>0.066</v>
      </c>
      <c r="L70" s="23">
        <f>0.25*C70/100</f>
        <v>0.015</v>
      </c>
      <c r="M70" s="23">
        <f>0.2*C70/100</f>
        <v>0.012000000000000002</v>
      </c>
      <c r="N70" s="23">
        <f>1.3*C70/100</f>
        <v>0.07800000000000001</v>
      </c>
      <c r="O70" s="23">
        <f>4*C70/100</f>
        <v>0.24</v>
      </c>
      <c r="P70" s="74">
        <f>475*C70/100</f>
        <v>28.5</v>
      </c>
      <c r="Q70" s="60"/>
    </row>
    <row r="71" spans="1:17" s="28" customFormat="1" ht="16.5" customHeight="1">
      <c r="A71" s="125" t="s">
        <v>53</v>
      </c>
      <c r="B71" s="2">
        <v>20</v>
      </c>
      <c r="C71" s="2">
        <v>20</v>
      </c>
      <c r="D71" s="2"/>
      <c r="E71" s="3"/>
      <c r="F71" s="3"/>
      <c r="G71" s="3">
        <f>99.8*C71/100</f>
        <v>19.96</v>
      </c>
      <c r="H71" s="3">
        <f>2*C71/100</f>
        <v>0.4</v>
      </c>
      <c r="I71" s="3"/>
      <c r="J71" s="3"/>
      <c r="K71" s="3">
        <f>0.3*C71/100</f>
        <v>0.06</v>
      </c>
      <c r="L71" s="3"/>
      <c r="M71" s="3"/>
      <c r="N71" s="3"/>
      <c r="O71" s="3"/>
      <c r="P71" s="76">
        <f>374*C71/100</f>
        <v>74.8</v>
      </c>
      <c r="Q71" s="60"/>
    </row>
    <row r="72" spans="1:17" s="35" customFormat="1" ht="16.5" customHeight="1">
      <c r="A72" s="70" t="s">
        <v>107</v>
      </c>
      <c r="B72" s="9">
        <v>100</v>
      </c>
      <c r="C72" s="9">
        <v>70</v>
      </c>
      <c r="D72" s="10">
        <v>70</v>
      </c>
      <c r="E72" s="7">
        <f>1.5*C72/100</f>
        <v>1.05</v>
      </c>
      <c r="F72" s="7"/>
      <c r="G72" s="7">
        <f>22.4*C72/100</f>
        <v>15.68</v>
      </c>
      <c r="H72" s="7">
        <f>8*C72/100</f>
        <v>5.6</v>
      </c>
      <c r="I72" s="7">
        <f>42*C72/100</f>
        <v>29.4</v>
      </c>
      <c r="J72" s="7">
        <f>28*C72/100</f>
        <v>19.6</v>
      </c>
      <c r="K72" s="7">
        <f>0.6*C72/100</f>
        <v>0.42</v>
      </c>
      <c r="L72" s="7">
        <f>0.12*C72/100</f>
        <v>0.084</v>
      </c>
      <c r="M72" s="7">
        <f>0.04*C72/100</f>
        <v>0.028000000000000004</v>
      </c>
      <c r="N72" s="7">
        <f>0.05*C72/100</f>
        <v>0.035</v>
      </c>
      <c r="O72" s="7">
        <f>10*C72/100</f>
        <v>7</v>
      </c>
      <c r="P72" s="92">
        <f>91*C72/100</f>
        <v>63.7</v>
      </c>
      <c r="Q72" s="54"/>
    </row>
    <row r="73" spans="1:17" s="106" customFormat="1" ht="33" customHeight="1" thickBot="1">
      <c r="A73" s="89" t="s">
        <v>18</v>
      </c>
      <c r="B73" s="90"/>
      <c r="C73" s="90"/>
      <c r="D73" s="90"/>
      <c r="E73" s="90">
        <f>E58+E68+E72</f>
        <v>30.776000000000003</v>
      </c>
      <c r="F73" s="90">
        <f aca="true" t="shared" si="11" ref="F73:P73">F58+F68+F72</f>
        <v>15.68</v>
      </c>
      <c r="G73" s="90">
        <f t="shared" si="11"/>
        <v>72.699</v>
      </c>
      <c r="H73" s="90">
        <f t="shared" si="11"/>
        <v>317.19000000000005</v>
      </c>
      <c r="I73" s="90">
        <f t="shared" si="11"/>
        <v>81.53999999999999</v>
      </c>
      <c r="J73" s="90">
        <f t="shared" si="11"/>
        <v>425.3</v>
      </c>
      <c r="K73" s="90">
        <f t="shared" si="11"/>
        <v>1.8209999999999997</v>
      </c>
      <c r="L73" s="90">
        <f t="shared" si="11"/>
        <v>0.1915</v>
      </c>
      <c r="M73" s="90">
        <f t="shared" si="11"/>
        <v>0.1685</v>
      </c>
      <c r="N73" s="90">
        <f t="shared" si="11"/>
        <v>0.5400000000000001</v>
      </c>
      <c r="O73" s="90">
        <f t="shared" si="11"/>
        <v>7.99</v>
      </c>
      <c r="P73" s="91">
        <f t="shared" si="11"/>
        <v>558.0500000000001</v>
      </c>
      <c r="Q73" s="126"/>
    </row>
    <row r="74" spans="1:17" ht="16.5" customHeight="1">
      <c r="A74" s="65" t="s">
        <v>19</v>
      </c>
      <c r="B74" s="66"/>
      <c r="C74" s="66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9"/>
      <c r="Q74" s="55"/>
    </row>
    <row r="75" spans="1:17" s="11" customFormat="1" ht="16.5" customHeight="1">
      <c r="A75" s="190" t="s">
        <v>0</v>
      </c>
      <c r="B75" s="185" t="s">
        <v>40</v>
      </c>
      <c r="C75" s="185" t="s">
        <v>41</v>
      </c>
      <c r="D75" s="185" t="s">
        <v>42</v>
      </c>
      <c r="E75" s="189" t="s">
        <v>1</v>
      </c>
      <c r="F75" s="189"/>
      <c r="G75" s="189"/>
      <c r="H75" s="189" t="s">
        <v>3</v>
      </c>
      <c r="I75" s="189"/>
      <c r="J75" s="189"/>
      <c r="K75" s="189"/>
      <c r="L75" s="189" t="s">
        <v>2</v>
      </c>
      <c r="M75" s="189"/>
      <c r="N75" s="189"/>
      <c r="O75" s="189"/>
      <c r="P75" s="191" t="s">
        <v>43</v>
      </c>
      <c r="Q75" s="56"/>
    </row>
    <row r="76" spans="1:17" s="28" customFormat="1" ht="16.5" customHeight="1">
      <c r="A76" s="190"/>
      <c r="B76" s="185"/>
      <c r="C76" s="185"/>
      <c r="D76" s="185"/>
      <c r="E76" s="189"/>
      <c r="F76" s="189"/>
      <c r="G76" s="189"/>
      <c r="H76" s="189" t="s">
        <v>4</v>
      </c>
      <c r="I76" s="189"/>
      <c r="J76" s="189"/>
      <c r="K76" s="189"/>
      <c r="L76" s="189"/>
      <c r="M76" s="189"/>
      <c r="N76" s="189"/>
      <c r="O76" s="189"/>
      <c r="P76" s="191"/>
      <c r="Q76" s="60"/>
    </row>
    <row r="77" spans="1:17" s="28" customFormat="1" ht="16.5" customHeight="1">
      <c r="A77" s="190"/>
      <c r="B77" s="185"/>
      <c r="C77" s="185"/>
      <c r="D77" s="185"/>
      <c r="E77" s="18" t="s">
        <v>5</v>
      </c>
      <c r="F77" s="18" t="s">
        <v>6</v>
      </c>
      <c r="G77" s="18" t="s">
        <v>7</v>
      </c>
      <c r="H77" s="18" t="s">
        <v>10</v>
      </c>
      <c r="I77" s="18" t="s">
        <v>12</v>
      </c>
      <c r="J77" s="18" t="s">
        <v>11</v>
      </c>
      <c r="K77" s="18" t="s">
        <v>13</v>
      </c>
      <c r="L77" s="18" t="s">
        <v>9</v>
      </c>
      <c r="M77" s="18" t="s">
        <v>51</v>
      </c>
      <c r="N77" s="18" t="s">
        <v>52</v>
      </c>
      <c r="O77" s="18" t="s">
        <v>8</v>
      </c>
      <c r="P77" s="191"/>
      <c r="Q77" s="60"/>
    </row>
    <row r="78" spans="1:17" s="28" customFormat="1" ht="16.5" customHeight="1">
      <c r="A78" s="181" t="s">
        <v>108</v>
      </c>
      <c r="B78" s="182"/>
      <c r="C78" s="182"/>
      <c r="D78" s="10">
        <v>250</v>
      </c>
      <c r="E78" s="16">
        <f>E79+E80+E81+E82+E83+E84+E85</f>
        <v>12.475</v>
      </c>
      <c r="F78" s="16">
        <f aca="true" t="shared" si="12" ref="F78:P78">F79+F80+F81+F82+F83+F84+F85</f>
        <v>13.095</v>
      </c>
      <c r="G78" s="16">
        <f t="shared" si="12"/>
        <v>27.098999999999997</v>
      </c>
      <c r="H78" s="16">
        <f t="shared" si="12"/>
        <v>21.630000000000003</v>
      </c>
      <c r="I78" s="16">
        <f t="shared" si="12"/>
        <v>31.9</v>
      </c>
      <c r="J78" s="16">
        <f t="shared" si="12"/>
        <v>80.54</v>
      </c>
      <c r="K78" s="16">
        <f t="shared" si="12"/>
        <v>1.298</v>
      </c>
      <c r="L78" s="16">
        <f t="shared" si="12"/>
        <v>0.925</v>
      </c>
      <c r="M78" s="16">
        <f t="shared" si="12"/>
        <v>0.13299999999999998</v>
      </c>
      <c r="N78" s="16">
        <f t="shared" si="12"/>
        <v>0.0658</v>
      </c>
      <c r="O78" s="16">
        <f t="shared" si="12"/>
        <v>19.8</v>
      </c>
      <c r="P78" s="71">
        <f t="shared" si="12"/>
        <v>269.83</v>
      </c>
      <c r="Q78" s="60"/>
    </row>
    <row r="79" spans="1:17" s="28" customFormat="1" ht="16.5" customHeight="1">
      <c r="A79" s="72" t="s">
        <v>49</v>
      </c>
      <c r="B79" s="20">
        <v>125</v>
      </c>
      <c r="C79" s="20">
        <v>90</v>
      </c>
      <c r="D79" s="20"/>
      <c r="E79" s="21">
        <f>2*C79/100</f>
        <v>1.8</v>
      </c>
      <c r="F79" s="21">
        <f>0.1*C79/100</f>
        <v>0.09</v>
      </c>
      <c r="G79" s="21">
        <f>19.7*C79/100</f>
        <v>17.73</v>
      </c>
      <c r="H79" s="21">
        <f>10*C79/100</f>
        <v>9</v>
      </c>
      <c r="I79" s="21">
        <f>23*C79/100</f>
        <v>20.7</v>
      </c>
      <c r="J79" s="21">
        <f>58*C79/100</f>
        <v>52.2</v>
      </c>
      <c r="K79" s="21">
        <f>0.9*C79/100</f>
        <v>0.81</v>
      </c>
      <c r="L79" s="21">
        <f>0.02*C79/100</f>
        <v>0.018000000000000002</v>
      </c>
      <c r="M79" s="21">
        <f>0.12*C79/100</f>
        <v>0.10799999999999998</v>
      </c>
      <c r="N79" s="21">
        <f>0.05*C79/100</f>
        <v>0.045</v>
      </c>
      <c r="O79" s="21">
        <f>20*C79/100</f>
        <v>18</v>
      </c>
      <c r="P79" s="73">
        <f>83*C79/100</f>
        <v>74.7</v>
      </c>
      <c r="Q79" s="60"/>
    </row>
    <row r="80" spans="1:17" s="28" customFormat="1" ht="16.5" customHeight="1">
      <c r="A80" s="72" t="s">
        <v>46</v>
      </c>
      <c r="B80" s="20">
        <v>15</v>
      </c>
      <c r="C80" s="20">
        <v>13</v>
      </c>
      <c r="D80" s="20"/>
      <c r="E80" s="23">
        <f>1.7*C80/100</f>
        <v>0.22099999999999997</v>
      </c>
      <c r="F80" s="23">
        <v>0</v>
      </c>
      <c r="G80" s="23">
        <f>9.5*C80/100</f>
        <v>1.235</v>
      </c>
      <c r="H80" s="23">
        <f>31*C80/100</f>
        <v>4.03</v>
      </c>
      <c r="I80" s="23">
        <f>14*C80/100</f>
        <v>1.82</v>
      </c>
      <c r="J80" s="23">
        <f>58*C80/100</f>
        <v>7.54</v>
      </c>
      <c r="K80" s="23">
        <f>0.8*C80/100</f>
        <v>0.10400000000000001</v>
      </c>
      <c r="L80" s="23">
        <v>0</v>
      </c>
      <c r="M80" s="23">
        <v>0</v>
      </c>
      <c r="N80" s="23">
        <v>0</v>
      </c>
      <c r="O80" s="23">
        <f>10*C80/100</f>
        <v>1.3</v>
      </c>
      <c r="P80" s="74">
        <f>43*C80/100</f>
        <v>5.59</v>
      </c>
      <c r="Q80" s="60"/>
    </row>
    <row r="81" spans="1:17" s="41" customFormat="1" ht="16.5" customHeight="1">
      <c r="A81" s="72" t="s">
        <v>47</v>
      </c>
      <c r="B81" s="20">
        <v>13</v>
      </c>
      <c r="C81" s="20">
        <v>10</v>
      </c>
      <c r="D81" s="20"/>
      <c r="E81" s="24">
        <f>1.3*C81/100</f>
        <v>0.13</v>
      </c>
      <c r="F81" s="24"/>
      <c r="G81" s="24">
        <f>7*C81/100</f>
        <v>0.7</v>
      </c>
      <c r="H81" s="24">
        <f>51*C81/100</f>
        <v>5.1</v>
      </c>
      <c r="I81" s="24">
        <f>38*C81/100</f>
        <v>3.8</v>
      </c>
      <c r="J81" s="24">
        <f>55*C81/100</f>
        <v>5.5</v>
      </c>
      <c r="K81" s="24">
        <f>1.2*C81/100</f>
        <v>0.12</v>
      </c>
      <c r="L81" s="24">
        <f>9*C81/100</f>
        <v>0.9</v>
      </c>
      <c r="M81" s="24">
        <v>0</v>
      </c>
      <c r="N81" s="24">
        <v>0</v>
      </c>
      <c r="O81" s="24">
        <f>5*C81/100</f>
        <v>0.5</v>
      </c>
      <c r="P81" s="75">
        <f>33*C81/100</f>
        <v>3.3</v>
      </c>
      <c r="Q81" s="84"/>
    </row>
    <row r="82" spans="1:17" s="41" customFormat="1" ht="16.5" customHeight="1">
      <c r="A82" s="72" t="s">
        <v>59</v>
      </c>
      <c r="B82" s="20">
        <v>5</v>
      </c>
      <c r="C82" s="20">
        <v>5</v>
      </c>
      <c r="D82" s="20"/>
      <c r="E82" s="24"/>
      <c r="F82" s="3">
        <f>99.9*C82/100</f>
        <v>4.995</v>
      </c>
      <c r="G82" s="3"/>
      <c r="H82" s="3"/>
      <c r="I82" s="3"/>
      <c r="J82" s="3"/>
      <c r="K82" s="3"/>
      <c r="L82" s="3"/>
      <c r="M82" s="3"/>
      <c r="N82" s="3"/>
      <c r="O82" s="3"/>
      <c r="P82" s="76">
        <f>899*C82/100</f>
        <v>44.95</v>
      </c>
      <c r="Q82" s="84"/>
    </row>
    <row r="83" spans="1:17" s="52" customFormat="1" ht="16.5" customHeight="1">
      <c r="A83" s="72" t="s">
        <v>109</v>
      </c>
      <c r="B83" s="20">
        <v>45</v>
      </c>
      <c r="C83" s="20">
        <v>45</v>
      </c>
      <c r="D83" s="20"/>
      <c r="E83" s="24">
        <f>20*C83/100</f>
        <v>9</v>
      </c>
      <c r="F83" s="3">
        <f>17*C83/100</f>
        <v>7.65</v>
      </c>
      <c r="G83" s="3"/>
      <c r="H83" s="3"/>
      <c r="I83" s="3"/>
      <c r="J83" s="3"/>
      <c r="K83" s="3"/>
      <c r="L83" s="3"/>
      <c r="M83" s="3"/>
      <c r="N83" s="3"/>
      <c r="O83" s="3"/>
      <c r="P83" s="76">
        <f>233*C83/100</f>
        <v>104.85</v>
      </c>
      <c r="Q83" s="99"/>
    </row>
    <row r="84" spans="1:17" s="22" customFormat="1" ht="16.5" customHeight="1">
      <c r="A84" s="72" t="s">
        <v>73</v>
      </c>
      <c r="B84" s="20">
        <v>3</v>
      </c>
      <c r="C84" s="20">
        <v>2</v>
      </c>
      <c r="D84" s="20"/>
      <c r="E84" s="3">
        <f>12.7*C84/100</f>
        <v>0.254</v>
      </c>
      <c r="F84" s="3">
        <f>11.5*C84/100</f>
        <v>0.23</v>
      </c>
      <c r="G84" s="3">
        <f>0.7*C84/100</f>
        <v>0.013999999999999999</v>
      </c>
      <c r="H84" s="3">
        <f>55*C84/100</f>
        <v>1.1</v>
      </c>
      <c r="I84" s="3">
        <f>54*C84/100</f>
        <v>1.08</v>
      </c>
      <c r="J84" s="3">
        <f>185*C84/100</f>
        <v>3.7</v>
      </c>
      <c r="K84" s="3">
        <f>2.7*C84/100</f>
        <v>0.054000000000000006</v>
      </c>
      <c r="L84" s="3">
        <f>0.35*C84/100</f>
        <v>0.006999999999999999</v>
      </c>
      <c r="M84" s="3"/>
      <c r="N84" s="3">
        <f>0.44*C84/100</f>
        <v>0.0088</v>
      </c>
      <c r="O84" s="3"/>
      <c r="P84" s="76">
        <f>157*C84/100</f>
        <v>3.14</v>
      </c>
      <c r="Q84" s="59"/>
    </row>
    <row r="85" spans="1:17" s="28" customFormat="1" ht="16.5" customHeight="1">
      <c r="A85" s="72" t="s">
        <v>138</v>
      </c>
      <c r="B85" s="20">
        <v>10</v>
      </c>
      <c r="C85" s="20">
        <v>10</v>
      </c>
      <c r="D85" s="20"/>
      <c r="E85" s="23">
        <f>10.7*C85/100</f>
        <v>1.07</v>
      </c>
      <c r="F85" s="23">
        <f>1.3*C85/100</f>
        <v>0.13</v>
      </c>
      <c r="G85" s="23">
        <f>74.2*C85/100</f>
        <v>7.42</v>
      </c>
      <c r="H85" s="23">
        <f>24*C85/100</f>
        <v>2.4</v>
      </c>
      <c r="I85" s="23">
        <f>45*C85/100</f>
        <v>4.5</v>
      </c>
      <c r="J85" s="23">
        <f>116*C85/100</f>
        <v>11.6</v>
      </c>
      <c r="K85" s="23">
        <f>2.1*C85/100</f>
        <v>0.21</v>
      </c>
      <c r="L85" s="23"/>
      <c r="M85" s="23">
        <f>0.25*C85/100</f>
        <v>0.025</v>
      </c>
      <c r="N85" s="23">
        <f>0.12*C85/100</f>
        <v>0.012</v>
      </c>
      <c r="O85" s="23"/>
      <c r="P85" s="74">
        <f>333*C85/100</f>
        <v>33.3</v>
      </c>
      <c r="Q85" s="60"/>
    </row>
    <row r="86" spans="1:17" s="22" customFormat="1" ht="16.5" customHeight="1">
      <c r="A86" s="181" t="s">
        <v>111</v>
      </c>
      <c r="B86" s="182"/>
      <c r="C86" s="182"/>
      <c r="D86" s="10" t="s">
        <v>141</v>
      </c>
      <c r="E86" s="16">
        <f>E87+E88+E89+E90</f>
        <v>18.929</v>
      </c>
      <c r="F86" s="16">
        <f aca="true" t="shared" si="13" ref="F86:P86">F87+F88+F89+F90</f>
        <v>15.772</v>
      </c>
      <c r="G86" s="16">
        <f t="shared" si="13"/>
        <v>2.6260000000000003</v>
      </c>
      <c r="H86" s="16">
        <f t="shared" si="13"/>
        <v>16.54</v>
      </c>
      <c r="I86" s="16">
        <f t="shared" si="13"/>
        <v>20.38</v>
      </c>
      <c r="J86" s="16">
        <f t="shared" si="13"/>
        <v>366.03</v>
      </c>
      <c r="K86" s="16">
        <f t="shared" si="13"/>
        <v>9.511</v>
      </c>
      <c r="L86" s="16">
        <f t="shared" si="13"/>
        <v>4.04025</v>
      </c>
      <c r="M86" s="16">
        <f t="shared" si="13"/>
        <v>0.3201</v>
      </c>
      <c r="N86" s="16">
        <f t="shared" si="13"/>
        <v>2.31325</v>
      </c>
      <c r="O86" s="16">
        <f t="shared" si="13"/>
        <v>34.6875</v>
      </c>
      <c r="P86" s="71">
        <f t="shared" si="13"/>
        <v>228.36</v>
      </c>
      <c r="Q86" s="59"/>
    </row>
    <row r="87" spans="1:17" s="52" customFormat="1" ht="16.5" customHeight="1">
      <c r="A87" s="72" t="s">
        <v>110</v>
      </c>
      <c r="B87" s="20">
        <v>115</v>
      </c>
      <c r="C87" s="20">
        <v>105</v>
      </c>
      <c r="D87" s="20"/>
      <c r="E87" s="23">
        <f>17.4*C87/100</f>
        <v>18.269999999999996</v>
      </c>
      <c r="F87" s="23">
        <f>3.1*C87/100</f>
        <v>3.255</v>
      </c>
      <c r="G87" s="23"/>
      <c r="H87" s="23">
        <f>5*C87/100</f>
        <v>5.25</v>
      </c>
      <c r="I87" s="23">
        <f>18*C87/100</f>
        <v>18.9</v>
      </c>
      <c r="J87" s="23">
        <f>339*C87/100</f>
        <v>355.95</v>
      </c>
      <c r="K87" s="23">
        <f>9*C87/100</f>
        <v>9.45</v>
      </c>
      <c r="L87" s="23">
        <f>3.83*C87/100</f>
        <v>4.0215000000000005</v>
      </c>
      <c r="M87" s="23">
        <f>0.3*C87/100</f>
        <v>0.315</v>
      </c>
      <c r="N87" s="23">
        <f>2.19*C87/100</f>
        <v>2.2995</v>
      </c>
      <c r="O87" s="23">
        <f>33*C87/100</f>
        <v>34.65</v>
      </c>
      <c r="P87" s="74">
        <f>98*C87/100</f>
        <v>102.9</v>
      </c>
      <c r="Q87" s="99"/>
    </row>
    <row r="88" spans="1:17" s="40" customFormat="1" ht="16.5" customHeight="1">
      <c r="A88" s="72" t="s">
        <v>61</v>
      </c>
      <c r="B88" s="20">
        <v>12.5</v>
      </c>
      <c r="C88" s="20">
        <v>12.5</v>
      </c>
      <c r="D88" s="20"/>
      <c r="E88" s="3">
        <f>2.8*C88/100</f>
        <v>0.35</v>
      </c>
      <c r="F88" s="3">
        <f>20*C88/100</f>
        <v>2.5</v>
      </c>
      <c r="G88" s="3">
        <f>3.2*C88/100</f>
        <v>0.4</v>
      </c>
      <c r="H88" s="3">
        <f>86*C88/100</f>
        <v>10.75</v>
      </c>
      <c r="I88" s="3">
        <f>8*C88/100</f>
        <v>1</v>
      </c>
      <c r="J88" s="3">
        <f>60*C88/100</f>
        <v>7.5</v>
      </c>
      <c r="K88" s="3">
        <f>0.2*C88/100</f>
        <v>0.025</v>
      </c>
      <c r="L88" s="3">
        <f>0.15*C88/100</f>
        <v>0.01875</v>
      </c>
      <c r="M88" s="3"/>
      <c r="N88" s="3">
        <f>0.11*C88/100</f>
        <v>0.01375</v>
      </c>
      <c r="O88" s="3">
        <f>0.3*C88/100</f>
        <v>0.0375</v>
      </c>
      <c r="P88" s="76">
        <f>206*C88/100</f>
        <v>25.75</v>
      </c>
      <c r="Q88" s="83"/>
    </row>
    <row r="89" spans="1:17" s="40" customFormat="1" ht="16.5" customHeight="1">
      <c r="A89" s="72" t="s">
        <v>59</v>
      </c>
      <c r="B89" s="20">
        <v>10</v>
      </c>
      <c r="C89" s="20">
        <v>10</v>
      </c>
      <c r="D89" s="20"/>
      <c r="E89" s="3"/>
      <c r="F89" s="3">
        <f>99.9*C89/100</f>
        <v>9.99</v>
      </c>
      <c r="G89" s="3"/>
      <c r="H89" s="3"/>
      <c r="I89" s="3"/>
      <c r="J89" s="3"/>
      <c r="K89" s="3"/>
      <c r="L89" s="3"/>
      <c r="M89" s="3"/>
      <c r="N89" s="3"/>
      <c r="O89" s="3"/>
      <c r="P89" s="76">
        <f>899*C89/100</f>
        <v>89.9</v>
      </c>
      <c r="Q89" s="83"/>
    </row>
    <row r="90" spans="1:17" s="40" customFormat="1" ht="16.5" customHeight="1">
      <c r="A90" s="95" t="s">
        <v>64</v>
      </c>
      <c r="B90" s="20">
        <v>3</v>
      </c>
      <c r="C90" s="20">
        <v>3</v>
      </c>
      <c r="D90" s="20"/>
      <c r="E90" s="3">
        <f>10.3*C90/100</f>
        <v>0.309</v>
      </c>
      <c r="F90" s="3">
        <f>0.9*C90/100</f>
        <v>0.027000000000000003</v>
      </c>
      <c r="G90" s="3">
        <f>74.2*C90/100</f>
        <v>2.2260000000000004</v>
      </c>
      <c r="H90" s="3">
        <f>18*C90/100</f>
        <v>0.54</v>
      </c>
      <c r="I90" s="3">
        <f>16*C90/100</f>
        <v>0.48</v>
      </c>
      <c r="J90" s="3">
        <f>86*C90/100</f>
        <v>2.58</v>
      </c>
      <c r="K90" s="3">
        <f>1.2*C90/100</f>
        <v>0.036</v>
      </c>
      <c r="L90" s="3"/>
      <c r="M90" s="3">
        <f>0.17*C90/100</f>
        <v>0.0051</v>
      </c>
      <c r="N90" s="3"/>
      <c r="O90" s="3"/>
      <c r="P90" s="76">
        <f>327*C90/100</f>
        <v>9.81</v>
      </c>
      <c r="Q90" s="83"/>
    </row>
    <row r="91" spans="1:17" s="22" customFormat="1" ht="16.5" customHeight="1">
      <c r="A91" s="186" t="s">
        <v>20</v>
      </c>
      <c r="B91" s="187"/>
      <c r="C91" s="188"/>
      <c r="D91" s="10">
        <v>180</v>
      </c>
      <c r="E91" s="16">
        <f>E92+E93</f>
        <v>10.536</v>
      </c>
      <c r="F91" s="16">
        <f aca="true" t="shared" si="14" ref="F91:P91">F92+F93</f>
        <v>6.507999999999999</v>
      </c>
      <c r="G91" s="16">
        <f t="shared" si="14"/>
        <v>56.494</v>
      </c>
      <c r="H91" s="16">
        <f t="shared" si="14"/>
        <v>59.54</v>
      </c>
      <c r="I91" s="16">
        <f t="shared" si="14"/>
        <v>81.52000000000001</v>
      </c>
      <c r="J91" s="16">
        <f t="shared" si="14"/>
        <v>248.54</v>
      </c>
      <c r="K91" s="16">
        <f t="shared" si="14"/>
        <v>6.651999999999999</v>
      </c>
      <c r="L91" s="16">
        <f t="shared" si="14"/>
        <v>0.024000000000000004</v>
      </c>
      <c r="M91" s="16">
        <f t="shared" si="14"/>
        <v>0.4399</v>
      </c>
      <c r="N91" s="16">
        <f t="shared" si="14"/>
        <v>0.166</v>
      </c>
      <c r="O91" s="16">
        <f t="shared" si="14"/>
        <v>0</v>
      </c>
      <c r="P91" s="71">
        <f t="shared" si="14"/>
        <v>312.73</v>
      </c>
      <c r="Q91" s="59"/>
    </row>
    <row r="92" spans="1:17" ht="16.5" customHeight="1">
      <c r="A92" s="96" t="s">
        <v>62</v>
      </c>
      <c r="B92" s="2">
        <v>83</v>
      </c>
      <c r="C92" s="2">
        <v>83</v>
      </c>
      <c r="D92" s="1"/>
      <c r="E92" s="3">
        <f>12.6*C92/100</f>
        <v>10.458</v>
      </c>
      <c r="F92" s="3">
        <f>2.6*C92/100</f>
        <v>2.158</v>
      </c>
      <c r="G92" s="3">
        <f>68*C92/100</f>
        <v>56.44</v>
      </c>
      <c r="H92" s="3">
        <f>70*C92/100</f>
        <v>58.1</v>
      </c>
      <c r="I92" s="3">
        <f>98*C92/100</f>
        <v>81.34</v>
      </c>
      <c r="J92" s="3">
        <f>298*C92/100</f>
        <v>247.34</v>
      </c>
      <c r="K92" s="3">
        <f>8*C92/100</f>
        <v>6.64</v>
      </c>
      <c r="L92" s="3"/>
      <c r="M92" s="3">
        <f>0.53*C92/100</f>
        <v>0.4399</v>
      </c>
      <c r="N92" s="3">
        <f>0.2*C92/100</f>
        <v>0.166</v>
      </c>
      <c r="O92" s="3"/>
      <c r="P92" s="76">
        <f>329*C92/100</f>
        <v>273.07</v>
      </c>
      <c r="Q92" s="55"/>
    </row>
    <row r="93" spans="1:17" ht="16.5" customHeight="1">
      <c r="A93" s="96" t="s">
        <v>63</v>
      </c>
      <c r="B93" s="2">
        <v>6</v>
      </c>
      <c r="C93" s="2">
        <v>6</v>
      </c>
      <c r="D93" s="1"/>
      <c r="E93" s="3">
        <f>1.3*C93/100</f>
        <v>0.07800000000000001</v>
      </c>
      <c r="F93" s="3">
        <f>72.5*C93/100</f>
        <v>4.35</v>
      </c>
      <c r="G93" s="3">
        <f>0.9*C93/100</f>
        <v>0.054000000000000006</v>
      </c>
      <c r="H93" s="3">
        <f>24*C93/100</f>
        <v>1.44</v>
      </c>
      <c r="I93" s="3">
        <f>3*C93/100</f>
        <v>0.18</v>
      </c>
      <c r="J93" s="3">
        <f>20*C93/100</f>
        <v>1.2</v>
      </c>
      <c r="K93" s="3">
        <f>0.2*C93/100</f>
        <v>0.012000000000000002</v>
      </c>
      <c r="L93" s="3">
        <f>0.4*C93/100</f>
        <v>0.024000000000000004</v>
      </c>
      <c r="M93" s="3"/>
      <c r="N93" s="3"/>
      <c r="O93" s="3"/>
      <c r="P93" s="76">
        <f>661*C93/100</f>
        <v>39.66</v>
      </c>
      <c r="Q93" s="55"/>
    </row>
    <row r="94" spans="1:17" s="19" customFormat="1" ht="16.5" customHeight="1">
      <c r="A94" s="70" t="s">
        <v>16</v>
      </c>
      <c r="B94" s="9">
        <v>60</v>
      </c>
      <c r="C94" s="9">
        <v>60</v>
      </c>
      <c r="D94" s="10">
        <v>60</v>
      </c>
      <c r="E94" s="16">
        <f>7.6*C94/100</f>
        <v>4.56</v>
      </c>
      <c r="F94" s="16">
        <f>0.6*C94/100</f>
        <v>0.36</v>
      </c>
      <c r="G94" s="16">
        <f>52.3*C94/100</f>
        <v>31.38</v>
      </c>
      <c r="H94" s="16">
        <f>20*C94/100</f>
        <v>12</v>
      </c>
      <c r="I94" s="16">
        <f>14*C94/100</f>
        <v>8.4</v>
      </c>
      <c r="J94" s="16">
        <f>65*C94/100</f>
        <v>39</v>
      </c>
      <c r="K94" s="16">
        <f>0.9*C94/100</f>
        <v>0.54</v>
      </c>
      <c r="L94" s="16">
        <v>0</v>
      </c>
      <c r="M94" s="16">
        <f>0.11*C94/100</f>
        <v>0.066</v>
      </c>
      <c r="N94" s="16">
        <f>0.06*C94/100</f>
        <v>0.036</v>
      </c>
      <c r="O94" s="16">
        <v>0</v>
      </c>
      <c r="P94" s="71">
        <f>233*C94/100</f>
        <v>139.8</v>
      </c>
      <c r="Q94" s="58"/>
    </row>
    <row r="95" spans="1:17" ht="16.5" customHeight="1">
      <c r="A95" s="70" t="s">
        <v>17</v>
      </c>
      <c r="B95" s="9">
        <v>35</v>
      </c>
      <c r="C95" s="9">
        <v>35</v>
      </c>
      <c r="D95" s="10">
        <v>35</v>
      </c>
      <c r="E95" s="16">
        <f>6.5*C95/100</f>
        <v>2.275</v>
      </c>
      <c r="F95" s="16">
        <f>1*C95/100</f>
        <v>0.35</v>
      </c>
      <c r="G95" s="16">
        <f>40.1*C95/100</f>
        <v>14.035</v>
      </c>
      <c r="H95" s="16">
        <f>38*C95/100</f>
        <v>13.3</v>
      </c>
      <c r="I95" s="16">
        <f>49*C95/100</f>
        <v>17.15</v>
      </c>
      <c r="J95" s="16">
        <f>156*C95/100</f>
        <v>54.6</v>
      </c>
      <c r="K95" s="16">
        <f>2.6*C95/100</f>
        <v>0.91</v>
      </c>
      <c r="L95" s="16">
        <v>0</v>
      </c>
      <c r="M95" s="16">
        <f>0.18*C95/100</f>
        <v>0.063</v>
      </c>
      <c r="N95" s="16">
        <f>0.11*C95/100</f>
        <v>0.0385</v>
      </c>
      <c r="O95" s="16">
        <v>0</v>
      </c>
      <c r="P95" s="71">
        <f>190*C95/100</f>
        <v>66.5</v>
      </c>
      <c r="Q95" s="55"/>
    </row>
    <row r="96" spans="1:17" ht="16.5" customHeight="1">
      <c r="A96" s="137" t="s">
        <v>105</v>
      </c>
      <c r="B96" s="46">
        <v>200</v>
      </c>
      <c r="C96" s="46">
        <v>200</v>
      </c>
      <c r="D96" s="47">
        <v>200</v>
      </c>
      <c r="E96" s="47">
        <f>0.3*C96/100</f>
        <v>0.6</v>
      </c>
      <c r="F96" s="47"/>
      <c r="G96" s="47">
        <f>16.8*C96/100</f>
        <v>33.6</v>
      </c>
      <c r="H96" s="47"/>
      <c r="I96" s="47"/>
      <c r="J96" s="47"/>
      <c r="K96" s="47"/>
      <c r="L96" s="47">
        <f>0.3*C96/100</f>
        <v>0.6</v>
      </c>
      <c r="M96" s="47">
        <f>0.02*C96/100</f>
        <v>0.04</v>
      </c>
      <c r="N96" s="47">
        <f>0.04*C96/100</f>
        <v>0.08</v>
      </c>
      <c r="O96" s="47">
        <f>6*C96/100</f>
        <v>12</v>
      </c>
      <c r="P96" s="138">
        <f>65*C96/100</f>
        <v>130</v>
      </c>
      <c r="Q96" s="55"/>
    </row>
    <row r="97" spans="1:17" s="5" customFormat="1" ht="33" customHeight="1">
      <c r="A97" s="77" t="s">
        <v>22</v>
      </c>
      <c r="B97" s="4"/>
      <c r="C97" s="4"/>
      <c r="D97" s="4"/>
      <c r="E97" s="4">
        <f>E78+E86+E91+E94+E95+E96</f>
        <v>49.375</v>
      </c>
      <c r="F97" s="4">
        <f aca="true" t="shared" si="15" ref="F97:P97">F78+F86+F91+F94+F95+F96</f>
        <v>36.085</v>
      </c>
      <c r="G97" s="4">
        <f t="shared" si="15"/>
        <v>165.23399999999998</v>
      </c>
      <c r="H97" s="4">
        <f t="shared" si="15"/>
        <v>123.01</v>
      </c>
      <c r="I97" s="4">
        <f t="shared" si="15"/>
        <v>159.35000000000002</v>
      </c>
      <c r="J97" s="4">
        <f t="shared" si="15"/>
        <v>788.71</v>
      </c>
      <c r="K97" s="4">
        <f t="shared" si="15"/>
        <v>18.910999999999998</v>
      </c>
      <c r="L97" s="4">
        <f t="shared" si="15"/>
        <v>5.58925</v>
      </c>
      <c r="M97" s="4">
        <f t="shared" si="15"/>
        <v>1.062</v>
      </c>
      <c r="N97" s="4">
        <f t="shared" si="15"/>
        <v>2.69955</v>
      </c>
      <c r="O97" s="4">
        <f t="shared" si="15"/>
        <v>66.4875</v>
      </c>
      <c r="P97" s="78">
        <f t="shared" si="15"/>
        <v>1147.22</v>
      </c>
      <c r="Q97" s="57"/>
    </row>
    <row r="98" spans="1:17" ht="37.5" customHeight="1" thickBot="1">
      <c r="A98" s="183" t="s">
        <v>113</v>
      </c>
      <c r="B98" s="184"/>
      <c r="C98" s="184"/>
      <c r="D98" s="79"/>
      <c r="E98" s="79">
        <f aca="true" t="shared" si="16" ref="E98:P98">E73+E97</f>
        <v>80.15100000000001</v>
      </c>
      <c r="F98" s="79">
        <f t="shared" si="16"/>
        <v>51.765</v>
      </c>
      <c r="G98" s="79">
        <f t="shared" si="16"/>
        <v>237.933</v>
      </c>
      <c r="H98" s="79">
        <f t="shared" si="16"/>
        <v>440.20000000000005</v>
      </c>
      <c r="I98" s="79">
        <f t="shared" si="16"/>
        <v>240.89000000000001</v>
      </c>
      <c r="J98" s="79">
        <f t="shared" si="16"/>
        <v>1214.01</v>
      </c>
      <c r="K98" s="79">
        <f t="shared" si="16"/>
        <v>20.732</v>
      </c>
      <c r="L98" s="79">
        <f t="shared" si="16"/>
        <v>5.780749999999999</v>
      </c>
      <c r="M98" s="79">
        <f t="shared" si="16"/>
        <v>1.2305000000000001</v>
      </c>
      <c r="N98" s="79">
        <f t="shared" si="16"/>
        <v>3.23955</v>
      </c>
      <c r="O98" s="79">
        <f t="shared" si="16"/>
        <v>74.47749999999999</v>
      </c>
      <c r="P98" s="80">
        <f t="shared" si="16"/>
        <v>1705.27</v>
      </c>
      <c r="Q98" s="55"/>
    </row>
    <row r="99" spans="1:16" s="159" customFormat="1" ht="16.5" customHeight="1">
      <c r="A99" s="170"/>
      <c r="B99" s="170"/>
      <c r="C99" s="170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</row>
    <row r="100" spans="1:2" s="109" customFormat="1" ht="16.5" customHeight="1">
      <c r="A100" s="158" t="s">
        <v>154</v>
      </c>
      <c r="B100" s="159"/>
    </row>
    <row r="101" spans="1:2" s="109" customFormat="1" ht="16.5" customHeight="1">
      <c r="A101" s="158" t="s">
        <v>157</v>
      </c>
      <c r="B101" s="159"/>
    </row>
    <row r="102" spans="1:2" s="109" customFormat="1" ht="16.5" customHeight="1" thickBot="1">
      <c r="A102" s="180" t="s">
        <v>152</v>
      </c>
      <c r="B102" s="180"/>
    </row>
    <row r="103" spans="1:17" s="123" customFormat="1" ht="16.5" customHeight="1">
      <c r="A103" s="192" t="s">
        <v>0</v>
      </c>
      <c r="B103" s="193" t="s">
        <v>40</v>
      </c>
      <c r="C103" s="193" t="s">
        <v>41</v>
      </c>
      <c r="D103" s="193" t="s">
        <v>42</v>
      </c>
      <c r="E103" s="194" t="s">
        <v>1</v>
      </c>
      <c r="F103" s="194"/>
      <c r="G103" s="194"/>
      <c r="H103" s="194" t="s">
        <v>3</v>
      </c>
      <c r="I103" s="194"/>
      <c r="J103" s="194"/>
      <c r="K103" s="194"/>
      <c r="L103" s="194" t="s">
        <v>2</v>
      </c>
      <c r="M103" s="194"/>
      <c r="N103" s="194"/>
      <c r="O103" s="194"/>
      <c r="P103" s="195" t="s">
        <v>43</v>
      </c>
      <c r="Q103" s="122"/>
    </row>
    <row r="104" spans="1:17" s="11" customFormat="1" ht="16.5" customHeight="1">
      <c r="A104" s="190"/>
      <c r="B104" s="185"/>
      <c r="C104" s="185"/>
      <c r="D104" s="185"/>
      <c r="E104" s="189"/>
      <c r="F104" s="189"/>
      <c r="G104" s="189"/>
      <c r="H104" s="189" t="s">
        <v>4</v>
      </c>
      <c r="I104" s="189"/>
      <c r="J104" s="189"/>
      <c r="K104" s="189"/>
      <c r="L104" s="189"/>
      <c r="M104" s="189"/>
      <c r="N104" s="189"/>
      <c r="O104" s="189"/>
      <c r="P104" s="191"/>
      <c r="Q104" s="56"/>
    </row>
    <row r="105" spans="1:17" ht="16.5" customHeight="1">
      <c r="A105" s="190"/>
      <c r="B105" s="185"/>
      <c r="C105" s="185"/>
      <c r="D105" s="185"/>
      <c r="E105" s="18" t="s">
        <v>5</v>
      </c>
      <c r="F105" s="18" t="s">
        <v>6</v>
      </c>
      <c r="G105" s="18" t="s">
        <v>7</v>
      </c>
      <c r="H105" s="18" t="s">
        <v>10</v>
      </c>
      <c r="I105" s="18" t="s">
        <v>12</v>
      </c>
      <c r="J105" s="18" t="s">
        <v>11</v>
      </c>
      <c r="K105" s="18" t="s">
        <v>13</v>
      </c>
      <c r="L105" s="18" t="s">
        <v>9</v>
      </c>
      <c r="M105" s="18" t="s">
        <v>51</v>
      </c>
      <c r="N105" s="18" t="s">
        <v>52</v>
      </c>
      <c r="O105" s="18" t="s">
        <v>8</v>
      </c>
      <c r="P105" s="191"/>
      <c r="Q105" s="55"/>
    </row>
    <row r="106" spans="1:17" ht="16.5" customHeight="1">
      <c r="A106" s="87" t="s">
        <v>14</v>
      </c>
      <c r="B106" s="34"/>
      <c r="C106" s="34"/>
      <c r="D106" s="10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71"/>
      <c r="Q106" s="55"/>
    </row>
    <row r="107" spans="1:17" s="19" customFormat="1" ht="16.5" customHeight="1">
      <c r="A107" s="181" t="s">
        <v>116</v>
      </c>
      <c r="B107" s="182"/>
      <c r="C107" s="182"/>
      <c r="D107" s="10">
        <v>250</v>
      </c>
      <c r="E107" s="16">
        <f>E108+E109+E110+E111</f>
        <v>7.89</v>
      </c>
      <c r="F107" s="16">
        <f>F108+F109+F110+F111</f>
        <v>11.336</v>
      </c>
      <c r="G107" s="16">
        <f aca="true" t="shared" si="17" ref="G107:P107">G108+G109+G110+G111</f>
        <v>58.27000000000001</v>
      </c>
      <c r="H107" s="16">
        <f t="shared" si="17"/>
        <v>153.87</v>
      </c>
      <c r="I107" s="16">
        <f t="shared" si="17"/>
        <v>32.91</v>
      </c>
      <c r="J107" s="16">
        <f t="shared" si="17"/>
        <v>174.82</v>
      </c>
      <c r="K107" s="16">
        <f t="shared" si="17"/>
        <v>1.22</v>
      </c>
      <c r="L107" s="16">
        <f t="shared" si="17"/>
        <v>0.0775</v>
      </c>
      <c r="M107" s="16">
        <f t="shared" si="17"/>
        <v>0.0748</v>
      </c>
      <c r="N107" s="16">
        <f t="shared" si="17"/>
        <v>0.2174</v>
      </c>
      <c r="O107" s="16">
        <f t="shared" si="17"/>
        <v>0.6</v>
      </c>
      <c r="P107" s="71">
        <f t="shared" si="17"/>
        <v>351.89</v>
      </c>
      <c r="Q107" s="58"/>
    </row>
    <row r="108" spans="1:17" s="22" customFormat="1" ht="16.5" customHeight="1">
      <c r="A108" s="72" t="s">
        <v>50</v>
      </c>
      <c r="B108" s="20">
        <v>15</v>
      </c>
      <c r="C108" s="20">
        <v>15</v>
      </c>
      <c r="D108" s="20"/>
      <c r="E108" s="23">
        <f>25.6*C108/100</f>
        <v>3.84</v>
      </c>
      <c r="F108" s="23">
        <f>25*C108/100</f>
        <v>3.75</v>
      </c>
      <c r="G108" s="23">
        <f>39.4*C108/100</f>
        <v>5.91</v>
      </c>
      <c r="H108" s="23">
        <f>919*C108/100</f>
        <v>137.85</v>
      </c>
      <c r="I108" s="23">
        <f>139*C108/100</f>
        <v>20.85</v>
      </c>
      <c r="J108" s="23">
        <f>790*C108/100</f>
        <v>118.5</v>
      </c>
      <c r="K108" s="23">
        <f>1.1*C108/100</f>
        <v>0.165</v>
      </c>
      <c r="L108" s="23">
        <f>0.25*C108/100</f>
        <v>0.0375</v>
      </c>
      <c r="M108" s="23">
        <f>0.2*C108/100</f>
        <v>0.03</v>
      </c>
      <c r="N108" s="23">
        <f>1.3*C108/100</f>
        <v>0.195</v>
      </c>
      <c r="O108" s="23">
        <f>4*C108/100</f>
        <v>0.6</v>
      </c>
      <c r="P108" s="74">
        <f>475*C108/100</f>
        <v>71.25</v>
      </c>
      <c r="Q108" s="59"/>
    </row>
    <row r="109" spans="1:17" s="22" customFormat="1" ht="16.5" customHeight="1">
      <c r="A109" s="72" t="s">
        <v>101</v>
      </c>
      <c r="B109" s="20">
        <v>56</v>
      </c>
      <c r="C109" s="20">
        <v>56</v>
      </c>
      <c r="D109" s="20"/>
      <c r="E109" s="21">
        <f>7*C109/100</f>
        <v>3.92</v>
      </c>
      <c r="F109" s="21">
        <f>0.6*C109/100</f>
        <v>0.336</v>
      </c>
      <c r="G109" s="21">
        <f>77.3*C109/100</f>
        <v>43.288000000000004</v>
      </c>
      <c r="H109" s="21">
        <f>24*C109/100</f>
        <v>13.44</v>
      </c>
      <c r="I109" s="21">
        <f>21*C109/100</f>
        <v>11.76</v>
      </c>
      <c r="J109" s="21">
        <f>97*C109/100</f>
        <v>54.32</v>
      </c>
      <c r="K109" s="21">
        <f>1.8*C109/100</f>
        <v>1.008</v>
      </c>
      <c r="L109" s="21"/>
      <c r="M109" s="21">
        <f>0.08*C109/100</f>
        <v>0.044800000000000006</v>
      </c>
      <c r="N109" s="21">
        <f>0.04*C109/100</f>
        <v>0.022400000000000003</v>
      </c>
      <c r="O109" s="21"/>
      <c r="P109" s="73">
        <f>323*C109/100</f>
        <v>180.88</v>
      </c>
      <c r="Q109" s="59"/>
    </row>
    <row r="110" spans="1:17" s="22" customFormat="1" ht="16.5" customHeight="1">
      <c r="A110" s="72" t="s">
        <v>63</v>
      </c>
      <c r="B110" s="20">
        <v>10</v>
      </c>
      <c r="C110" s="20">
        <v>10</v>
      </c>
      <c r="D110" s="20"/>
      <c r="E110" s="3">
        <f>1.3*C110/100</f>
        <v>0.13</v>
      </c>
      <c r="F110" s="3">
        <f>72.5*C110/100</f>
        <v>7.25</v>
      </c>
      <c r="G110" s="3">
        <f>0.9*C110/100</f>
        <v>0.09</v>
      </c>
      <c r="H110" s="3">
        <f>24*C110/100</f>
        <v>2.4</v>
      </c>
      <c r="I110" s="3">
        <f>3*C110/100</f>
        <v>0.3</v>
      </c>
      <c r="J110" s="3">
        <f>20*C110/100</f>
        <v>2</v>
      </c>
      <c r="K110" s="3">
        <f>0.2*C110/100</f>
        <v>0.02</v>
      </c>
      <c r="L110" s="3">
        <f>0.4*C110/100</f>
        <v>0.04</v>
      </c>
      <c r="M110" s="3"/>
      <c r="N110" s="3"/>
      <c r="O110" s="3"/>
      <c r="P110" s="76">
        <f>661*C110/100</f>
        <v>66.1</v>
      </c>
      <c r="Q110" s="59"/>
    </row>
    <row r="111" spans="1:17" s="28" customFormat="1" ht="16.5" customHeight="1">
      <c r="A111" s="72" t="s">
        <v>53</v>
      </c>
      <c r="B111" s="2">
        <v>9</v>
      </c>
      <c r="C111" s="2">
        <v>9</v>
      </c>
      <c r="D111" s="2"/>
      <c r="E111" s="3"/>
      <c r="F111" s="3"/>
      <c r="G111" s="3">
        <f>99.8*C111/100</f>
        <v>8.982</v>
      </c>
      <c r="H111" s="3">
        <f>2*C111/100</f>
        <v>0.18</v>
      </c>
      <c r="I111" s="3"/>
      <c r="J111" s="3"/>
      <c r="K111" s="3">
        <f>0.3*C111/100</f>
        <v>0.026999999999999996</v>
      </c>
      <c r="L111" s="3"/>
      <c r="M111" s="3"/>
      <c r="N111" s="3"/>
      <c r="O111" s="3"/>
      <c r="P111" s="76">
        <f>374*C111/100</f>
        <v>33.66</v>
      </c>
      <c r="Q111" s="60"/>
    </row>
    <row r="112" spans="1:17" s="28" customFormat="1" ht="16.5" customHeight="1">
      <c r="A112" s="70" t="s">
        <v>36</v>
      </c>
      <c r="B112" s="20">
        <v>25</v>
      </c>
      <c r="C112" s="20">
        <v>25</v>
      </c>
      <c r="D112" s="10">
        <v>25</v>
      </c>
      <c r="E112" s="16">
        <f>23.4*C112/100</f>
        <v>5.85</v>
      </c>
      <c r="F112" s="16">
        <f>30*C112/100</f>
        <v>7.5</v>
      </c>
      <c r="G112" s="16"/>
      <c r="H112" s="16">
        <f>1000*C112/100</f>
        <v>250</v>
      </c>
      <c r="I112" s="16">
        <f>47*C112/100</f>
        <v>11.75</v>
      </c>
      <c r="J112" s="16">
        <f>544*C112/100</f>
        <v>136</v>
      </c>
      <c r="K112" s="16">
        <f>0.6*C112/100</f>
        <v>0.15</v>
      </c>
      <c r="L112" s="16">
        <f>0.26*C112/100</f>
        <v>0.065</v>
      </c>
      <c r="M112" s="16">
        <f>0.04*C112/100</f>
        <v>0.01</v>
      </c>
      <c r="N112" s="16">
        <f>0.3*C112/100</f>
        <v>0.075</v>
      </c>
      <c r="O112" s="16">
        <f>1.6*C112/100</f>
        <v>0.4</v>
      </c>
      <c r="P112" s="71">
        <f>371*C112/100</f>
        <v>92.75</v>
      </c>
      <c r="Q112" s="60"/>
    </row>
    <row r="113" spans="1:17" s="28" customFormat="1" ht="16.5" customHeight="1">
      <c r="A113" s="70" t="s">
        <v>16</v>
      </c>
      <c r="B113" s="20">
        <v>40</v>
      </c>
      <c r="C113" s="20">
        <v>40</v>
      </c>
      <c r="D113" s="10">
        <v>40</v>
      </c>
      <c r="E113" s="16">
        <f>7.6*C113/100</f>
        <v>3.04</v>
      </c>
      <c r="F113" s="16">
        <f>0.6*C113/100</f>
        <v>0.24</v>
      </c>
      <c r="G113" s="16">
        <f>52.3*C113/100</f>
        <v>20.92</v>
      </c>
      <c r="H113" s="16">
        <f>20*C113/100</f>
        <v>8</v>
      </c>
      <c r="I113" s="16">
        <f>14*C113/100</f>
        <v>5.6</v>
      </c>
      <c r="J113" s="16">
        <f>65*C113/100</f>
        <v>26</v>
      </c>
      <c r="K113" s="16">
        <f>0.9*C113/100</f>
        <v>0.36</v>
      </c>
      <c r="L113" s="16">
        <v>0</v>
      </c>
      <c r="M113" s="16">
        <f>0.11*C113/100</f>
        <v>0.044000000000000004</v>
      </c>
      <c r="N113" s="16">
        <f>0.06*C113/100</f>
        <v>0.024</v>
      </c>
      <c r="O113" s="16">
        <v>0</v>
      </c>
      <c r="P113" s="71">
        <f>233*C113/100</f>
        <v>93.2</v>
      </c>
      <c r="Q113" s="60"/>
    </row>
    <row r="114" spans="1:17" ht="16.5" customHeight="1">
      <c r="A114" s="181" t="s">
        <v>115</v>
      </c>
      <c r="B114" s="182"/>
      <c r="C114" s="182"/>
      <c r="D114" s="10">
        <v>200</v>
      </c>
      <c r="E114" s="16">
        <f>E115+E116+E117</f>
        <v>2.2560000000000002</v>
      </c>
      <c r="F114" s="16">
        <f aca="true" t="shared" si="18" ref="F114:P114">F115+F116+F117</f>
        <v>1.5</v>
      </c>
      <c r="G114" s="16">
        <f t="shared" si="18"/>
        <v>25.524</v>
      </c>
      <c r="H114" s="16">
        <f t="shared" si="18"/>
        <v>55.54</v>
      </c>
      <c r="I114" s="16">
        <f t="shared" si="18"/>
        <v>8.34</v>
      </c>
      <c r="J114" s="16">
        <f t="shared" si="18"/>
        <v>47.4</v>
      </c>
      <c r="K114" s="16">
        <f t="shared" si="18"/>
        <v>0.126</v>
      </c>
      <c r="L114" s="16">
        <f t="shared" si="18"/>
        <v>0.015</v>
      </c>
      <c r="M114" s="16">
        <f t="shared" si="18"/>
        <v>0.012000000000000002</v>
      </c>
      <c r="N114" s="16">
        <f t="shared" si="18"/>
        <v>0.07800000000000001</v>
      </c>
      <c r="O114" s="16">
        <f t="shared" si="18"/>
        <v>0.24</v>
      </c>
      <c r="P114" s="71">
        <f t="shared" si="18"/>
        <v>133.7</v>
      </c>
      <c r="Q114" s="55"/>
    </row>
    <row r="115" spans="1:17" s="28" customFormat="1" ht="16.5" customHeight="1">
      <c r="A115" s="72" t="s">
        <v>117</v>
      </c>
      <c r="B115" s="20">
        <v>8</v>
      </c>
      <c r="C115" s="20">
        <v>8</v>
      </c>
      <c r="D115" s="20"/>
      <c r="E115" s="23">
        <f>9*C115/100</f>
        <v>0.72</v>
      </c>
      <c r="F115" s="23"/>
      <c r="G115" s="23">
        <f>40*C115/100</f>
        <v>3.2</v>
      </c>
      <c r="H115" s="23"/>
      <c r="I115" s="23"/>
      <c r="J115" s="23"/>
      <c r="K115" s="23"/>
      <c r="L115" s="23"/>
      <c r="M115" s="23"/>
      <c r="N115" s="23"/>
      <c r="O115" s="23"/>
      <c r="P115" s="74">
        <f>380*C115/100</f>
        <v>30.4</v>
      </c>
      <c r="Q115" s="60"/>
    </row>
    <row r="116" spans="1:17" s="28" customFormat="1" ht="16.5" customHeight="1">
      <c r="A116" s="72" t="s">
        <v>50</v>
      </c>
      <c r="B116" s="20">
        <v>6</v>
      </c>
      <c r="C116" s="20">
        <v>6</v>
      </c>
      <c r="D116" s="20"/>
      <c r="E116" s="23">
        <f>25.6*C116/100</f>
        <v>1.5360000000000003</v>
      </c>
      <c r="F116" s="23">
        <f>25*C116/100</f>
        <v>1.5</v>
      </c>
      <c r="G116" s="23">
        <f>39.4*C116/100</f>
        <v>2.364</v>
      </c>
      <c r="H116" s="23">
        <f>919*C116/100</f>
        <v>55.14</v>
      </c>
      <c r="I116" s="23">
        <f>139*C116/100</f>
        <v>8.34</v>
      </c>
      <c r="J116" s="23">
        <f>790*C116/100</f>
        <v>47.4</v>
      </c>
      <c r="K116" s="23">
        <f>1.1*C116/100</f>
        <v>0.066</v>
      </c>
      <c r="L116" s="23">
        <f>0.25*C116/100</f>
        <v>0.015</v>
      </c>
      <c r="M116" s="23">
        <f>0.2*C116/100</f>
        <v>0.012000000000000002</v>
      </c>
      <c r="N116" s="23">
        <f>1.3*C116/100</f>
        <v>0.07800000000000001</v>
      </c>
      <c r="O116" s="23">
        <f>4*C116/100</f>
        <v>0.24</v>
      </c>
      <c r="P116" s="74">
        <f>475*C116/100</f>
        <v>28.5</v>
      </c>
      <c r="Q116" s="60"/>
    </row>
    <row r="117" spans="1:17" s="28" customFormat="1" ht="16.5" customHeight="1">
      <c r="A117" s="125" t="s">
        <v>53</v>
      </c>
      <c r="B117" s="2">
        <v>20</v>
      </c>
      <c r="C117" s="2">
        <v>20</v>
      </c>
      <c r="D117" s="2"/>
      <c r="E117" s="3"/>
      <c r="F117" s="3"/>
      <c r="G117" s="3">
        <f>99.8*C117/100</f>
        <v>19.96</v>
      </c>
      <c r="H117" s="3">
        <f>2*C117/100</f>
        <v>0.4</v>
      </c>
      <c r="I117" s="3"/>
      <c r="J117" s="3"/>
      <c r="K117" s="3">
        <f>0.3*C117/100</f>
        <v>0.06</v>
      </c>
      <c r="L117" s="3"/>
      <c r="M117" s="3"/>
      <c r="N117" s="3"/>
      <c r="O117" s="3"/>
      <c r="P117" s="76">
        <f>374*C117/100</f>
        <v>74.8</v>
      </c>
      <c r="Q117" s="60"/>
    </row>
    <row r="118" spans="1:17" s="53" customFormat="1" ht="33" customHeight="1" thickBot="1">
      <c r="A118" s="141" t="s">
        <v>18</v>
      </c>
      <c r="B118" s="142"/>
      <c r="C118" s="142"/>
      <c r="D118" s="142"/>
      <c r="E118" s="142">
        <f>E107+E112+E113+E114</f>
        <v>19.035999999999998</v>
      </c>
      <c r="F118" s="142">
        <f aca="true" t="shared" si="19" ref="F118:P118">F107+F112+F113+F114</f>
        <v>20.575999999999997</v>
      </c>
      <c r="G118" s="142">
        <f t="shared" si="19"/>
        <v>104.71400000000001</v>
      </c>
      <c r="H118" s="142">
        <f t="shared" si="19"/>
        <v>467.41</v>
      </c>
      <c r="I118" s="142">
        <f t="shared" si="19"/>
        <v>58.599999999999994</v>
      </c>
      <c r="J118" s="142">
        <f t="shared" si="19"/>
        <v>384.21999999999997</v>
      </c>
      <c r="K118" s="142">
        <f t="shared" si="19"/>
        <v>1.8559999999999999</v>
      </c>
      <c r="L118" s="142">
        <f t="shared" si="19"/>
        <v>0.15750000000000003</v>
      </c>
      <c r="M118" s="142">
        <f t="shared" si="19"/>
        <v>0.1408</v>
      </c>
      <c r="N118" s="142">
        <f t="shared" si="19"/>
        <v>0.39440000000000003</v>
      </c>
      <c r="O118" s="142">
        <f t="shared" si="19"/>
        <v>1.24</v>
      </c>
      <c r="P118" s="143">
        <f t="shared" si="19"/>
        <v>671.54</v>
      </c>
      <c r="Q118" s="140"/>
    </row>
    <row r="119" spans="1:17" s="35" customFormat="1" ht="16.5" customHeight="1">
      <c r="A119" s="65" t="s">
        <v>19</v>
      </c>
      <c r="B119" s="86"/>
      <c r="C119" s="86"/>
      <c r="D119" s="67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9"/>
      <c r="Q119" s="54"/>
    </row>
    <row r="120" spans="1:17" ht="16.5" customHeight="1">
      <c r="A120" s="190" t="s">
        <v>0</v>
      </c>
      <c r="B120" s="185" t="s">
        <v>40</v>
      </c>
      <c r="C120" s="185" t="s">
        <v>41</v>
      </c>
      <c r="D120" s="185" t="s">
        <v>42</v>
      </c>
      <c r="E120" s="189" t="s">
        <v>1</v>
      </c>
      <c r="F120" s="189"/>
      <c r="G120" s="189"/>
      <c r="H120" s="189" t="s">
        <v>3</v>
      </c>
      <c r="I120" s="189"/>
      <c r="J120" s="189"/>
      <c r="K120" s="189"/>
      <c r="L120" s="189" t="s">
        <v>2</v>
      </c>
      <c r="M120" s="189"/>
      <c r="N120" s="189"/>
      <c r="O120" s="189"/>
      <c r="P120" s="191" t="s">
        <v>43</v>
      </c>
      <c r="Q120" s="55"/>
    </row>
    <row r="121" spans="1:17" ht="16.5" customHeight="1">
      <c r="A121" s="190"/>
      <c r="B121" s="185"/>
      <c r="C121" s="185"/>
      <c r="D121" s="185"/>
      <c r="E121" s="189"/>
      <c r="F121" s="189"/>
      <c r="G121" s="189"/>
      <c r="H121" s="189" t="s">
        <v>4</v>
      </c>
      <c r="I121" s="189"/>
      <c r="J121" s="189"/>
      <c r="K121" s="189"/>
      <c r="L121" s="189"/>
      <c r="M121" s="189"/>
      <c r="N121" s="189"/>
      <c r="O121" s="189"/>
      <c r="P121" s="191"/>
      <c r="Q121" s="55"/>
    </row>
    <row r="122" spans="1:17" ht="16.5" customHeight="1">
      <c r="A122" s="190"/>
      <c r="B122" s="185"/>
      <c r="C122" s="185"/>
      <c r="D122" s="185"/>
      <c r="E122" s="18" t="s">
        <v>5</v>
      </c>
      <c r="F122" s="18" t="s">
        <v>6</v>
      </c>
      <c r="G122" s="18" t="s">
        <v>7</v>
      </c>
      <c r="H122" s="18" t="s">
        <v>10</v>
      </c>
      <c r="I122" s="18" t="s">
        <v>12</v>
      </c>
      <c r="J122" s="18" t="s">
        <v>11</v>
      </c>
      <c r="K122" s="18" t="s">
        <v>13</v>
      </c>
      <c r="L122" s="18" t="s">
        <v>9</v>
      </c>
      <c r="M122" s="18" t="s">
        <v>51</v>
      </c>
      <c r="N122" s="18" t="s">
        <v>52</v>
      </c>
      <c r="O122" s="18" t="s">
        <v>8</v>
      </c>
      <c r="P122" s="191"/>
      <c r="Q122" s="55"/>
    </row>
    <row r="123" spans="1:17" s="11" customFormat="1" ht="16.5" customHeight="1">
      <c r="A123" s="181" t="s">
        <v>146</v>
      </c>
      <c r="B123" s="182"/>
      <c r="C123" s="182"/>
      <c r="D123" s="10" t="s">
        <v>147</v>
      </c>
      <c r="E123" s="16">
        <f>E124+E125+E126+E127+E128+E129</f>
        <v>9.739999999999998</v>
      </c>
      <c r="F123" s="16">
        <f aca="true" t="shared" si="20" ref="F123:P123">F124+F125+F126+F127+F128+F129</f>
        <v>5.6450000000000005</v>
      </c>
      <c r="G123" s="16">
        <f t="shared" si="20"/>
        <v>51.84</v>
      </c>
      <c r="H123" s="16">
        <f t="shared" si="20"/>
        <v>43</v>
      </c>
      <c r="I123" s="16">
        <f t="shared" si="20"/>
        <v>49.1</v>
      </c>
      <c r="J123" s="16">
        <f t="shared" si="20"/>
        <v>134.7</v>
      </c>
      <c r="K123" s="16">
        <f t="shared" si="20"/>
        <v>2.77</v>
      </c>
      <c r="L123" s="16">
        <f t="shared" si="20"/>
        <v>0.928</v>
      </c>
      <c r="M123" s="16">
        <f t="shared" si="20"/>
        <v>0.33199999999999996</v>
      </c>
      <c r="N123" s="16">
        <f t="shared" si="20"/>
        <v>0.10499999999999998</v>
      </c>
      <c r="O123" s="16">
        <f t="shared" si="20"/>
        <v>19.5</v>
      </c>
      <c r="P123" s="71">
        <f t="shared" si="20"/>
        <v>285.05</v>
      </c>
      <c r="Q123" s="56"/>
    </row>
    <row r="124" spans="1:17" s="11" customFormat="1" ht="16.5" customHeight="1">
      <c r="A124" s="72" t="s">
        <v>77</v>
      </c>
      <c r="B124" s="20">
        <v>125</v>
      </c>
      <c r="C124" s="20">
        <v>90</v>
      </c>
      <c r="D124" s="9"/>
      <c r="E124" s="21">
        <f>2*C124/100</f>
        <v>1.8</v>
      </c>
      <c r="F124" s="21">
        <f>0.1*C124/100</f>
        <v>0.09</v>
      </c>
      <c r="G124" s="21">
        <f>19.7*C124/100</f>
        <v>17.73</v>
      </c>
      <c r="H124" s="21">
        <f>10*C124/100</f>
        <v>9</v>
      </c>
      <c r="I124" s="21">
        <f>23*C124/100</f>
        <v>20.7</v>
      </c>
      <c r="J124" s="21">
        <f>58*C124/100</f>
        <v>52.2</v>
      </c>
      <c r="K124" s="21">
        <f>0.9*C124/100</f>
        <v>0.81</v>
      </c>
      <c r="L124" s="21">
        <f>0.02*C124/100</f>
        <v>0.018000000000000002</v>
      </c>
      <c r="M124" s="21">
        <f>0.12*C124/100</f>
        <v>0.10799999999999998</v>
      </c>
      <c r="N124" s="21">
        <f>0.05*C124/100</f>
        <v>0.045</v>
      </c>
      <c r="O124" s="21">
        <f>20*C124/100</f>
        <v>18</v>
      </c>
      <c r="P124" s="73">
        <f>83*C124/100</f>
        <v>74.7</v>
      </c>
      <c r="Q124" s="56"/>
    </row>
    <row r="125" spans="1:17" s="11" customFormat="1" ht="16.5" customHeight="1">
      <c r="A125" s="72" t="s">
        <v>46</v>
      </c>
      <c r="B125" s="20">
        <v>12</v>
      </c>
      <c r="C125" s="20">
        <v>10</v>
      </c>
      <c r="D125" s="9"/>
      <c r="E125" s="23">
        <f>1.7*C125/100</f>
        <v>0.17</v>
      </c>
      <c r="F125" s="23">
        <v>0</v>
      </c>
      <c r="G125" s="23">
        <f>9.5*C125/100</f>
        <v>0.95</v>
      </c>
      <c r="H125" s="23">
        <f>31*C125/100</f>
        <v>3.1</v>
      </c>
      <c r="I125" s="23">
        <f>14*C125/100</f>
        <v>1.4</v>
      </c>
      <c r="J125" s="23">
        <f>58*C125/100</f>
        <v>5.8</v>
      </c>
      <c r="K125" s="23">
        <f>0.8*C125/100</f>
        <v>0.08</v>
      </c>
      <c r="L125" s="23">
        <v>0</v>
      </c>
      <c r="M125" s="23">
        <v>0</v>
      </c>
      <c r="N125" s="23">
        <v>0</v>
      </c>
      <c r="O125" s="23">
        <f>10*C125/100</f>
        <v>1</v>
      </c>
      <c r="P125" s="74">
        <f>43*C125/100</f>
        <v>4.3</v>
      </c>
      <c r="Q125" s="56"/>
    </row>
    <row r="126" spans="1:17" s="11" customFormat="1" ht="16.5" customHeight="1">
      <c r="A126" s="72" t="s">
        <v>47</v>
      </c>
      <c r="B126" s="20">
        <v>13</v>
      </c>
      <c r="C126" s="20">
        <v>10</v>
      </c>
      <c r="D126" s="9"/>
      <c r="E126" s="24">
        <f>1.3*C126/100</f>
        <v>0.13</v>
      </c>
      <c r="F126" s="24"/>
      <c r="G126" s="24">
        <f>7*C126/100</f>
        <v>0.7</v>
      </c>
      <c r="H126" s="24">
        <f>51*C126/100</f>
        <v>5.1</v>
      </c>
      <c r="I126" s="24">
        <f>38*C126/100</f>
        <v>3.8</v>
      </c>
      <c r="J126" s="24">
        <f>55*C126/100</f>
        <v>5.5</v>
      </c>
      <c r="K126" s="24">
        <f>1.2*C126/100</f>
        <v>0.12</v>
      </c>
      <c r="L126" s="24">
        <f>9*C126/100</f>
        <v>0.9</v>
      </c>
      <c r="M126" s="24">
        <v>0</v>
      </c>
      <c r="N126" s="24">
        <v>0</v>
      </c>
      <c r="O126" s="24">
        <f>5*C126/100</f>
        <v>0.5</v>
      </c>
      <c r="P126" s="75">
        <f>33*C126/100</f>
        <v>3.3</v>
      </c>
      <c r="Q126" s="56"/>
    </row>
    <row r="127" spans="1:17" s="11" customFormat="1" ht="16.5" customHeight="1">
      <c r="A127" s="72" t="s">
        <v>59</v>
      </c>
      <c r="B127" s="20">
        <v>5</v>
      </c>
      <c r="C127" s="20">
        <v>5</v>
      </c>
      <c r="D127" s="9"/>
      <c r="E127" s="14"/>
      <c r="F127" s="3">
        <f>99.9*C127/100</f>
        <v>4.995</v>
      </c>
      <c r="G127" s="3"/>
      <c r="H127" s="3"/>
      <c r="I127" s="3"/>
      <c r="J127" s="3"/>
      <c r="K127" s="3"/>
      <c r="L127" s="3"/>
      <c r="M127" s="3"/>
      <c r="N127" s="3"/>
      <c r="O127" s="3"/>
      <c r="P127" s="76">
        <f>899*C127/100</f>
        <v>44.95</v>
      </c>
      <c r="Q127" s="56"/>
    </row>
    <row r="128" spans="1:17" ht="16.5" customHeight="1">
      <c r="A128" s="72" t="s">
        <v>118</v>
      </c>
      <c r="B128" s="20">
        <v>20</v>
      </c>
      <c r="C128" s="20">
        <v>20</v>
      </c>
      <c r="D128" s="9"/>
      <c r="E128" s="23">
        <f>23*C128/100</f>
        <v>4.6</v>
      </c>
      <c r="F128" s="23">
        <f>1.6*C128/100</f>
        <v>0.32</v>
      </c>
      <c r="G128" s="23">
        <f>57.7*C128/100</f>
        <v>11.54</v>
      </c>
      <c r="H128" s="23">
        <f>89*C128/100</f>
        <v>17.8</v>
      </c>
      <c r="I128" s="23">
        <f>88*C128/100</f>
        <v>17.6</v>
      </c>
      <c r="J128" s="23">
        <f>226*C128/100</f>
        <v>45.2</v>
      </c>
      <c r="K128" s="23">
        <f>7*C128/100</f>
        <v>1.4</v>
      </c>
      <c r="L128" s="23">
        <f>0.05*C128/100</f>
        <v>0.01</v>
      </c>
      <c r="M128" s="23">
        <f>0.9*C128/100</f>
        <v>0.18</v>
      </c>
      <c r="N128" s="23">
        <f>0.18*C128/100</f>
        <v>0.036</v>
      </c>
      <c r="O128" s="23"/>
      <c r="P128" s="74">
        <f>323*C128/100</f>
        <v>64.6</v>
      </c>
      <c r="Q128" s="55"/>
    </row>
    <row r="129" spans="1:17" s="28" customFormat="1" ht="16.5" customHeight="1">
      <c r="A129" s="95" t="s">
        <v>65</v>
      </c>
      <c r="B129" s="20">
        <v>40</v>
      </c>
      <c r="C129" s="20">
        <v>40</v>
      </c>
      <c r="D129" s="20"/>
      <c r="E129" s="23">
        <f>7.6*C129/100</f>
        <v>3.04</v>
      </c>
      <c r="F129" s="23">
        <f>0.6*C129/100</f>
        <v>0.24</v>
      </c>
      <c r="G129" s="23">
        <f>52.3*C129/100</f>
        <v>20.92</v>
      </c>
      <c r="H129" s="23">
        <f>20*C129/100</f>
        <v>8</v>
      </c>
      <c r="I129" s="23">
        <f>14*C129/100</f>
        <v>5.6</v>
      </c>
      <c r="J129" s="23">
        <f>65*C129/100</f>
        <v>26</v>
      </c>
      <c r="K129" s="23">
        <f>0.9*C129/100</f>
        <v>0.36</v>
      </c>
      <c r="L129" s="23">
        <v>0</v>
      </c>
      <c r="M129" s="23">
        <f>0.11*C129/100</f>
        <v>0.044000000000000004</v>
      </c>
      <c r="N129" s="23">
        <f>0.06*C129/100</f>
        <v>0.024</v>
      </c>
      <c r="O129" s="23">
        <v>0</v>
      </c>
      <c r="P129" s="74">
        <f>233*C129/100</f>
        <v>93.2</v>
      </c>
      <c r="Q129" s="60"/>
    </row>
    <row r="130" spans="1:17" s="11" customFormat="1" ht="16.5" customHeight="1">
      <c r="A130" s="186" t="s">
        <v>27</v>
      </c>
      <c r="B130" s="187"/>
      <c r="C130" s="188"/>
      <c r="D130" s="10">
        <v>180</v>
      </c>
      <c r="E130" s="16">
        <f aca="true" t="shared" si="21" ref="E130:P130">E131+E132+E133</f>
        <v>4.446</v>
      </c>
      <c r="F130" s="16">
        <f t="shared" si="21"/>
        <v>5.279999999999999</v>
      </c>
      <c r="G130" s="16">
        <f t="shared" si="21"/>
        <v>36.696000000000005</v>
      </c>
      <c r="H130" s="16">
        <f t="shared" si="21"/>
        <v>47.010000000000005</v>
      </c>
      <c r="I130" s="16">
        <f t="shared" si="21"/>
        <v>45.75</v>
      </c>
      <c r="J130" s="16">
        <f t="shared" si="21"/>
        <v>129.3</v>
      </c>
      <c r="K130" s="16">
        <f t="shared" si="21"/>
        <v>1.665</v>
      </c>
      <c r="L130" s="16">
        <f t="shared" si="21"/>
        <v>0.0675</v>
      </c>
      <c r="M130" s="16">
        <f t="shared" si="21"/>
        <v>0.22199999999999998</v>
      </c>
      <c r="N130" s="16">
        <f t="shared" si="21"/>
        <v>0.129</v>
      </c>
      <c r="O130" s="16">
        <f t="shared" si="21"/>
        <v>36.12</v>
      </c>
      <c r="P130" s="71">
        <f t="shared" si="21"/>
        <v>203.31</v>
      </c>
      <c r="Q130" s="56"/>
    </row>
    <row r="131" spans="1:17" s="105" customFormat="1" ht="16.5" customHeight="1">
      <c r="A131" s="72" t="s">
        <v>49</v>
      </c>
      <c r="B131" s="20">
        <v>250</v>
      </c>
      <c r="C131" s="20">
        <v>180</v>
      </c>
      <c r="D131" s="20"/>
      <c r="E131" s="21">
        <f>2*C131/100</f>
        <v>3.6</v>
      </c>
      <c r="F131" s="21">
        <f>0.1*C131/100</f>
        <v>0.18</v>
      </c>
      <c r="G131" s="21">
        <f>19.7*C131/100</f>
        <v>35.46</v>
      </c>
      <c r="H131" s="21">
        <f>10*C131/100</f>
        <v>18</v>
      </c>
      <c r="I131" s="21">
        <f>23*C131/100</f>
        <v>41.4</v>
      </c>
      <c r="J131" s="21">
        <f>58*C131/100</f>
        <v>104.4</v>
      </c>
      <c r="K131" s="21">
        <f>0.9*C131/100</f>
        <v>1.62</v>
      </c>
      <c r="L131" s="21">
        <f>0.02*C131/100</f>
        <v>0.036000000000000004</v>
      </c>
      <c r="M131" s="21">
        <f>0.12*C131/100</f>
        <v>0.21599999999999997</v>
      </c>
      <c r="N131" s="21">
        <f>0.05*C131/100</f>
        <v>0.09</v>
      </c>
      <c r="O131" s="21">
        <f>20*C131/100</f>
        <v>36</v>
      </c>
      <c r="P131" s="73">
        <f>83*C131/100</f>
        <v>149.4</v>
      </c>
      <c r="Q131" s="144"/>
    </row>
    <row r="132" spans="1:17" s="105" customFormat="1" ht="16.5" customHeight="1">
      <c r="A132" s="72" t="s">
        <v>48</v>
      </c>
      <c r="B132" s="20">
        <v>6</v>
      </c>
      <c r="C132" s="20">
        <v>6</v>
      </c>
      <c r="D132" s="20"/>
      <c r="E132" s="21">
        <f>1.3*C132/100</f>
        <v>0.07800000000000001</v>
      </c>
      <c r="F132" s="21">
        <f>72.5*C132/100</f>
        <v>4.35</v>
      </c>
      <c r="G132" s="21">
        <f>0.9*C132/100</f>
        <v>0.054000000000000006</v>
      </c>
      <c r="H132" s="21">
        <f>24*C132/100</f>
        <v>1.44</v>
      </c>
      <c r="I132" s="21">
        <f>3*C132/100</f>
        <v>0.18</v>
      </c>
      <c r="J132" s="21">
        <f>20*C132/100</f>
        <v>1.2</v>
      </c>
      <c r="K132" s="21">
        <f>0.2*C132/100</f>
        <v>0.012000000000000002</v>
      </c>
      <c r="L132" s="21">
        <f>0.4*C132/100</f>
        <v>0.024000000000000004</v>
      </c>
      <c r="M132" s="21"/>
      <c r="N132" s="21"/>
      <c r="O132" s="21"/>
      <c r="P132" s="73">
        <f>661*C132/100</f>
        <v>39.66</v>
      </c>
      <c r="Q132" s="144"/>
    </row>
    <row r="133" spans="1:17" s="105" customFormat="1" ht="16.5" customHeight="1">
      <c r="A133" s="72" t="s">
        <v>50</v>
      </c>
      <c r="B133" s="20">
        <v>3</v>
      </c>
      <c r="C133" s="20">
        <v>3</v>
      </c>
      <c r="D133" s="20"/>
      <c r="E133" s="23">
        <f>25.6*C133/100</f>
        <v>0.7680000000000001</v>
      </c>
      <c r="F133" s="23">
        <f>25*C133/100</f>
        <v>0.75</v>
      </c>
      <c r="G133" s="23">
        <f>39.4*C133/100</f>
        <v>1.182</v>
      </c>
      <c r="H133" s="23">
        <f>919*C133/100</f>
        <v>27.57</v>
      </c>
      <c r="I133" s="23">
        <f>139*C133/100</f>
        <v>4.17</v>
      </c>
      <c r="J133" s="23">
        <f>790*C133/100</f>
        <v>23.7</v>
      </c>
      <c r="K133" s="23">
        <f>1.1*C133/100</f>
        <v>0.033</v>
      </c>
      <c r="L133" s="23">
        <f>0.25*C133/100</f>
        <v>0.0075</v>
      </c>
      <c r="M133" s="23">
        <f>0.2*C133/100</f>
        <v>0.006000000000000001</v>
      </c>
      <c r="N133" s="23">
        <f>1.3*C133/100</f>
        <v>0.03900000000000001</v>
      </c>
      <c r="O133" s="23">
        <f>4*C133/100</f>
        <v>0.12</v>
      </c>
      <c r="P133" s="74">
        <f>475*C133/100</f>
        <v>14.25</v>
      </c>
      <c r="Q133" s="144"/>
    </row>
    <row r="134" spans="1:17" ht="16.5" customHeight="1">
      <c r="A134" s="181" t="s">
        <v>44</v>
      </c>
      <c r="B134" s="182"/>
      <c r="C134" s="182"/>
      <c r="D134" s="10">
        <v>100</v>
      </c>
      <c r="E134" s="16">
        <f>E135+E136+E137+E138+E139</f>
        <v>24.331</v>
      </c>
      <c r="F134" s="16">
        <f aca="true" t="shared" si="22" ref="F134:P134">F135+F136+F137+F138+F139</f>
        <v>16.67</v>
      </c>
      <c r="G134" s="16">
        <f t="shared" si="22"/>
        <v>0.68</v>
      </c>
      <c r="H134" s="16">
        <f t="shared" si="22"/>
        <v>59.88</v>
      </c>
      <c r="I134" s="16">
        <f t="shared" si="22"/>
        <v>53.07</v>
      </c>
      <c r="J134" s="16">
        <f t="shared" si="22"/>
        <v>5.49</v>
      </c>
      <c r="K134" s="16">
        <f t="shared" si="22"/>
        <v>3.429</v>
      </c>
      <c r="L134" s="16">
        <f t="shared" si="22"/>
        <v>0.5045</v>
      </c>
      <c r="M134" s="16">
        <f t="shared" si="22"/>
        <v>0.06899999999999999</v>
      </c>
      <c r="N134" s="16">
        <f t="shared" si="22"/>
        <v>0.161</v>
      </c>
      <c r="O134" s="16">
        <f t="shared" si="22"/>
        <v>0.55</v>
      </c>
      <c r="P134" s="71">
        <f t="shared" si="22"/>
        <v>249.99</v>
      </c>
      <c r="Q134" s="55"/>
    </row>
    <row r="135" spans="1:17" ht="16.5" customHeight="1">
      <c r="A135" s="72" t="s">
        <v>45</v>
      </c>
      <c r="B135" s="20">
        <v>154</v>
      </c>
      <c r="C135" s="20">
        <v>115</v>
      </c>
      <c r="D135" s="20"/>
      <c r="E135" s="21">
        <f>21*C135/100</f>
        <v>24.15</v>
      </c>
      <c r="F135" s="21">
        <f>7*C135/100</f>
        <v>8.05</v>
      </c>
      <c r="G135" s="21"/>
      <c r="H135" s="21">
        <f>48*C135/100</f>
        <v>55.2</v>
      </c>
      <c r="I135" s="21">
        <f>44*C135/100</f>
        <v>50.6</v>
      </c>
      <c r="J135" s="21"/>
      <c r="K135" s="21">
        <f>2.9*C135/100</f>
        <v>3.335</v>
      </c>
      <c r="L135" s="21">
        <f>0.03*C135/100</f>
        <v>0.034499999999999996</v>
      </c>
      <c r="M135" s="21">
        <f>0.06*C135/100</f>
        <v>0.06899999999999999</v>
      </c>
      <c r="N135" s="21">
        <f>0.14*C135/100</f>
        <v>0.161</v>
      </c>
      <c r="O135" s="21"/>
      <c r="P135" s="73">
        <f>147*C135/100</f>
        <v>169.05</v>
      </c>
      <c r="Q135" s="55"/>
    </row>
    <row r="136" spans="1:17" ht="16.5" customHeight="1">
      <c r="A136" s="72" t="s">
        <v>46</v>
      </c>
      <c r="B136" s="20">
        <v>4</v>
      </c>
      <c r="C136" s="20">
        <v>3</v>
      </c>
      <c r="D136" s="20"/>
      <c r="E136" s="23">
        <f>1.7*C136/100</f>
        <v>0.051</v>
      </c>
      <c r="F136" s="23">
        <v>0</v>
      </c>
      <c r="G136" s="23">
        <f>9.5*C136/100</f>
        <v>0.285</v>
      </c>
      <c r="H136" s="23">
        <f>31*C136/100</f>
        <v>0.93</v>
      </c>
      <c r="I136" s="23">
        <f>14*C136/100</f>
        <v>0.42</v>
      </c>
      <c r="J136" s="23">
        <f>58*C136/100</f>
        <v>1.74</v>
      </c>
      <c r="K136" s="23">
        <f>0.8*C136/100</f>
        <v>0.024000000000000004</v>
      </c>
      <c r="L136" s="23">
        <v>0</v>
      </c>
      <c r="M136" s="23">
        <v>0</v>
      </c>
      <c r="N136" s="23">
        <v>0</v>
      </c>
      <c r="O136" s="23">
        <f>10*C136/100</f>
        <v>0.3</v>
      </c>
      <c r="P136" s="74">
        <f>43*C136/100</f>
        <v>1.29</v>
      </c>
      <c r="Q136" s="55"/>
    </row>
    <row r="137" spans="1:17" ht="16.5" customHeight="1">
      <c r="A137" s="72" t="s">
        <v>47</v>
      </c>
      <c r="B137" s="20">
        <v>6</v>
      </c>
      <c r="C137" s="20">
        <v>5</v>
      </c>
      <c r="D137" s="20"/>
      <c r="E137" s="24">
        <f>1.3*C137/100</f>
        <v>0.065</v>
      </c>
      <c r="F137" s="24"/>
      <c r="G137" s="24">
        <f>7*C137/100</f>
        <v>0.35</v>
      </c>
      <c r="H137" s="24">
        <f>51*C137/100</f>
        <v>2.55</v>
      </c>
      <c r="I137" s="24">
        <f>38*C137/100</f>
        <v>1.9</v>
      </c>
      <c r="J137" s="24">
        <f>55*C137/100</f>
        <v>2.75</v>
      </c>
      <c r="K137" s="24">
        <f>1.2*C137/100</f>
        <v>0.06</v>
      </c>
      <c r="L137" s="24">
        <f>9*C137/100</f>
        <v>0.45</v>
      </c>
      <c r="M137" s="24">
        <v>0</v>
      </c>
      <c r="N137" s="24">
        <v>0</v>
      </c>
      <c r="O137" s="24">
        <f>5*C137/100</f>
        <v>0.25</v>
      </c>
      <c r="P137" s="75">
        <f>33*C137/100</f>
        <v>1.65</v>
      </c>
      <c r="Q137" s="55"/>
    </row>
    <row r="138" spans="1:17" s="22" customFormat="1" ht="16.5" customHeight="1">
      <c r="A138" s="72" t="s">
        <v>59</v>
      </c>
      <c r="B138" s="20">
        <v>5</v>
      </c>
      <c r="C138" s="20">
        <v>5</v>
      </c>
      <c r="D138" s="20"/>
      <c r="E138" s="23"/>
      <c r="F138" s="3">
        <f>99.9*C138/100</f>
        <v>4.995</v>
      </c>
      <c r="G138" s="3"/>
      <c r="H138" s="3"/>
      <c r="I138" s="3"/>
      <c r="J138" s="3"/>
      <c r="K138" s="3"/>
      <c r="L138" s="3"/>
      <c r="M138" s="3"/>
      <c r="N138" s="3"/>
      <c r="O138" s="3"/>
      <c r="P138" s="76">
        <f>899*C138/100</f>
        <v>44.95</v>
      </c>
      <c r="Q138" s="59"/>
    </row>
    <row r="139" spans="1:17" ht="16.5" customHeight="1">
      <c r="A139" s="72" t="s">
        <v>48</v>
      </c>
      <c r="B139" s="20">
        <v>5</v>
      </c>
      <c r="C139" s="20">
        <v>5</v>
      </c>
      <c r="D139" s="20"/>
      <c r="E139" s="21">
        <f>1.3*C139/100</f>
        <v>0.065</v>
      </c>
      <c r="F139" s="21">
        <f>72.5*C139/100</f>
        <v>3.625</v>
      </c>
      <c r="G139" s="21">
        <f>0.9*C139/100</f>
        <v>0.045</v>
      </c>
      <c r="H139" s="21">
        <f>24*C139/100</f>
        <v>1.2</v>
      </c>
      <c r="I139" s="21">
        <f>3*C139/100</f>
        <v>0.15</v>
      </c>
      <c r="J139" s="21">
        <f>20*C139/100</f>
        <v>1</v>
      </c>
      <c r="K139" s="21">
        <f>0.2*C139/100</f>
        <v>0.01</v>
      </c>
      <c r="L139" s="21">
        <f>0.4*C139/100</f>
        <v>0.02</v>
      </c>
      <c r="M139" s="21"/>
      <c r="N139" s="21"/>
      <c r="O139" s="21"/>
      <c r="P139" s="73">
        <f>661*C139/100</f>
        <v>33.05</v>
      </c>
      <c r="Q139" s="55"/>
    </row>
    <row r="140" spans="1:17" ht="16.5" customHeight="1">
      <c r="A140" s="70" t="s">
        <v>16</v>
      </c>
      <c r="B140" s="9">
        <v>25</v>
      </c>
      <c r="C140" s="9">
        <v>25</v>
      </c>
      <c r="D140" s="10">
        <v>25</v>
      </c>
      <c r="E140" s="16">
        <f>7.6*C140/100</f>
        <v>1.9</v>
      </c>
      <c r="F140" s="16">
        <f>0.6*C140/100</f>
        <v>0.15</v>
      </c>
      <c r="G140" s="16">
        <f>52.3*C140/100</f>
        <v>13.075</v>
      </c>
      <c r="H140" s="16">
        <f>20*C140/100</f>
        <v>5</v>
      </c>
      <c r="I140" s="16">
        <f>14*C140/100</f>
        <v>3.5</v>
      </c>
      <c r="J140" s="16">
        <f>65*C140/100</f>
        <v>16.25</v>
      </c>
      <c r="K140" s="16">
        <f>0.9*C140/100</f>
        <v>0.225</v>
      </c>
      <c r="L140" s="16">
        <v>0</v>
      </c>
      <c r="M140" s="16">
        <f>0.11*C140/100</f>
        <v>0.0275</v>
      </c>
      <c r="N140" s="16">
        <f>0.06*C140/100</f>
        <v>0.015</v>
      </c>
      <c r="O140" s="16">
        <v>0</v>
      </c>
      <c r="P140" s="71">
        <f>233*C140/100</f>
        <v>58.25</v>
      </c>
      <c r="Q140" s="55"/>
    </row>
    <row r="141" spans="1:17" ht="16.5" customHeight="1">
      <c r="A141" s="70" t="s">
        <v>17</v>
      </c>
      <c r="B141" s="9">
        <v>35</v>
      </c>
      <c r="C141" s="9">
        <v>35</v>
      </c>
      <c r="D141" s="10">
        <v>35</v>
      </c>
      <c r="E141" s="16">
        <f>6.5*C141/100</f>
        <v>2.275</v>
      </c>
      <c r="F141" s="16">
        <f>1*C141/100</f>
        <v>0.35</v>
      </c>
      <c r="G141" s="16">
        <f>40.1*C141/100</f>
        <v>14.035</v>
      </c>
      <c r="H141" s="16">
        <f>38*C141/100</f>
        <v>13.3</v>
      </c>
      <c r="I141" s="16">
        <f>49*C141/100</f>
        <v>17.15</v>
      </c>
      <c r="J141" s="16">
        <f>156*C141/100</f>
        <v>54.6</v>
      </c>
      <c r="K141" s="16">
        <f>2.6*C141/100</f>
        <v>0.91</v>
      </c>
      <c r="L141" s="16">
        <v>0</v>
      </c>
      <c r="M141" s="16">
        <f>0.18*C141/100</f>
        <v>0.063</v>
      </c>
      <c r="N141" s="16">
        <f>0.11*C141/100</f>
        <v>0.0385</v>
      </c>
      <c r="O141" s="16">
        <v>0</v>
      </c>
      <c r="P141" s="71">
        <f>190*C141/100</f>
        <v>66.5</v>
      </c>
      <c r="Q141" s="55"/>
    </row>
    <row r="142" spans="1:17" ht="16.5" customHeight="1">
      <c r="A142" s="181" t="s">
        <v>38</v>
      </c>
      <c r="B142" s="182"/>
      <c r="C142" s="182"/>
      <c r="D142" s="10">
        <v>200</v>
      </c>
      <c r="E142" s="16">
        <f>E143+E144</f>
        <v>0.09600000000000002</v>
      </c>
      <c r="F142" s="16">
        <f aca="true" t="shared" si="23" ref="F142:O142">F143+F144</f>
        <v>0</v>
      </c>
      <c r="G142" s="16">
        <f t="shared" si="23"/>
        <v>31.46</v>
      </c>
      <c r="H142" s="16">
        <f t="shared" si="23"/>
        <v>0.2</v>
      </c>
      <c r="I142" s="16">
        <f t="shared" si="23"/>
        <v>0</v>
      </c>
      <c r="J142" s="16">
        <f t="shared" si="23"/>
        <v>0</v>
      </c>
      <c r="K142" s="16">
        <f t="shared" si="23"/>
        <v>0.03</v>
      </c>
      <c r="L142" s="16">
        <f t="shared" si="23"/>
        <v>0</v>
      </c>
      <c r="M142" s="16">
        <f t="shared" si="23"/>
        <v>0</v>
      </c>
      <c r="N142" s="16">
        <f t="shared" si="23"/>
        <v>0</v>
      </c>
      <c r="O142" s="16">
        <f t="shared" si="23"/>
        <v>0</v>
      </c>
      <c r="P142" s="71">
        <f>P143+P144</f>
        <v>118.52000000000001</v>
      </c>
      <c r="Q142" s="55"/>
    </row>
    <row r="143" spans="1:17" ht="16.5" customHeight="1">
      <c r="A143" s="72" t="s">
        <v>53</v>
      </c>
      <c r="B143" s="20">
        <v>10</v>
      </c>
      <c r="C143" s="20">
        <v>10</v>
      </c>
      <c r="D143" s="20"/>
      <c r="E143" s="23"/>
      <c r="F143" s="23"/>
      <c r="G143" s="3">
        <f>99.8*C143/100</f>
        <v>9.98</v>
      </c>
      <c r="H143" s="3">
        <f>2*C143/100</f>
        <v>0.2</v>
      </c>
      <c r="I143" s="3"/>
      <c r="J143" s="3"/>
      <c r="K143" s="3">
        <f>0.3*C143/100</f>
        <v>0.03</v>
      </c>
      <c r="L143" s="3"/>
      <c r="M143" s="3"/>
      <c r="N143" s="3"/>
      <c r="O143" s="3"/>
      <c r="P143" s="76">
        <f>374*C143/100</f>
        <v>37.4</v>
      </c>
      <c r="Q143" s="55"/>
    </row>
    <row r="144" spans="1:17" ht="16.5" customHeight="1">
      <c r="A144" s="72" t="s">
        <v>71</v>
      </c>
      <c r="B144" s="20">
        <v>24</v>
      </c>
      <c r="C144" s="20">
        <v>24</v>
      </c>
      <c r="D144" s="20"/>
      <c r="E144" s="21">
        <f>0.4*C144/100</f>
        <v>0.09600000000000002</v>
      </c>
      <c r="F144" s="21"/>
      <c r="G144" s="21">
        <f>89.5*C144/100</f>
        <v>21.48</v>
      </c>
      <c r="H144" s="21"/>
      <c r="I144" s="21"/>
      <c r="J144" s="21"/>
      <c r="K144" s="21"/>
      <c r="L144" s="21"/>
      <c r="M144" s="21"/>
      <c r="N144" s="21"/>
      <c r="O144" s="21"/>
      <c r="P144" s="73">
        <f>338*C144/100</f>
        <v>81.12</v>
      </c>
      <c r="Q144" s="55"/>
    </row>
    <row r="145" spans="1:17" s="5" customFormat="1" ht="33" customHeight="1">
      <c r="A145" s="77" t="s">
        <v>22</v>
      </c>
      <c r="B145" s="4"/>
      <c r="C145" s="4"/>
      <c r="D145" s="4"/>
      <c r="E145" s="4">
        <f>E123+E130+E134+E140+E141+E142</f>
        <v>42.78799999999999</v>
      </c>
      <c r="F145" s="4">
        <f aca="true" t="shared" si="24" ref="F145:P145">F123+F130+F134+F140+F141+F142</f>
        <v>28.095000000000002</v>
      </c>
      <c r="G145" s="4">
        <f t="shared" si="24"/>
        <v>147.786</v>
      </c>
      <c r="H145" s="4">
        <f t="shared" si="24"/>
        <v>168.39000000000001</v>
      </c>
      <c r="I145" s="4">
        <f t="shared" si="24"/>
        <v>168.57</v>
      </c>
      <c r="J145" s="4">
        <f t="shared" si="24"/>
        <v>340.34000000000003</v>
      </c>
      <c r="K145" s="4">
        <f t="shared" si="24"/>
        <v>9.029</v>
      </c>
      <c r="L145" s="4">
        <f t="shared" si="24"/>
        <v>1.5</v>
      </c>
      <c r="M145" s="4">
        <f t="shared" si="24"/>
        <v>0.7134999999999998</v>
      </c>
      <c r="N145" s="4">
        <f t="shared" si="24"/>
        <v>0.4485</v>
      </c>
      <c r="O145" s="4">
        <f t="shared" si="24"/>
        <v>56.169999999999995</v>
      </c>
      <c r="P145" s="78">
        <f t="shared" si="24"/>
        <v>981.62</v>
      </c>
      <c r="Q145" s="57"/>
    </row>
    <row r="146" spans="1:17" s="169" customFormat="1" ht="37.5" customHeight="1" thickBot="1">
      <c r="A146" s="183" t="s">
        <v>120</v>
      </c>
      <c r="B146" s="184"/>
      <c r="C146" s="184"/>
      <c r="D146" s="79"/>
      <c r="E146" s="79">
        <f aca="true" t="shared" si="25" ref="E146:P146">E118+E145</f>
        <v>61.823999999999984</v>
      </c>
      <c r="F146" s="79">
        <f t="shared" si="25"/>
        <v>48.671</v>
      </c>
      <c r="G146" s="79">
        <f t="shared" si="25"/>
        <v>252.5</v>
      </c>
      <c r="H146" s="79">
        <f t="shared" si="25"/>
        <v>635.8000000000001</v>
      </c>
      <c r="I146" s="79">
        <f t="shared" si="25"/>
        <v>227.17</v>
      </c>
      <c r="J146" s="79">
        <f t="shared" si="25"/>
        <v>724.56</v>
      </c>
      <c r="K146" s="79">
        <f t="shared" si="25"/>
        <v>10.885</v>
      </c>
      <c r="L146" s="79">
        <f t="shared" si="25"/>
        <v>1.6575</v>
      </c>
      <c r="M146" s="79">
        <f t="shared" si="25"/>
        <v>0.8542999999999998</v>
      </c>
      <c r="N146" s="79">
        <f t="shared" si="25"/>
        <v>0.8429</v>
      </c>
      <c r="O146" s="79">
        <f t="shared" si="25"/>
        <v>57.41</v>
      </c>
      <c r="P146" s="80">
        <f t="shared" si="25"/>
        <v>1653.1599999999999</v>
      </c>
      <c r="Q146" s="168"/>
    </row>
    <row r="147" spans="1:16" s="159" customFormat="1" ht="16.5" customHeight="1">
      <c r="A147" s="170"/>
      <c r="B147" s="170"/>
      <c r="C147" s="170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</row>
    <row r="148" spans="1:16" s="159" customFormat="1" ht="16.5" customHeight="1">
      <c r="A148" s="158" t="s">
        <v>155</v>
      </c>
      <c r="C148" s="170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</row>
    <row r="149" spans="1:16" s="159" customFormat="1" ht="16.5" customHeight="1">
      <c r="A149" s="158" t="s">
        <v>157</v>
      </c>
      <c r="C149" s="170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</row>
    <row r="150" spans="1:16" s="159" customFormat="1" ht="16.5" customHeight="1" thickBot="1">
      <c r="A150" s="180" t="s">
        <v>152</v>
      </c>
      <c r="B150" s="180"/>
      <c r="C150" s="170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</row>
    <row r="151" spans="1:17" s="136" customFormat="1" ht="16.5" customHeight="1">
      <c r="A151" s="192" t="s">
        <v>0</v>
      </c>
      <c r="B151" s="193" t="s">
        <v>40</v>
      </c>
      <c r="C151" s="193" t="s">
        <v>41</v>
      </c>
      <c r="D151" s="193" t="s">
        <v>42</v>
      </c>
      <c r="E151" s="194" t="s">
        <v>1</v>
      </c>
      <c r="F151" s="194"/>
      <c r="G151" s="194"/>
      <c r="H151" s="194" t="s">
        <v>3</v>
      </c>
      <c r="I151" s="194"/>
      <c r="J151" s="194"/>
      <c r="K151" s="194"/>
      <c r="L151" s="194" t="s">
        <v>2</v>
      </c>
      <c r="M151" s="194"/>
      <c r="N151" s="194"/>
      <c r="O151" s="194"/>
      <c r="P151" s="195" t="s">
        <v>43</v>
      </c>
      <c r="Q151" s="135"/>
    </row>
    <row r="152" spans="1:17" ht="16.5" customHeight="1">
      <c r="A152" s="190"/>
      <c r="B152" s="185"/>
      <c r="C152" s="185"/>
      <c r="D152" s="185"/>
      <c r="E152" s="189"/>
      <c r="F152" s="189"/>
      <c r="G152" s="189"/>
      <c r="H152" s="189" t="s">
        <v>4</v>
      </c>
      <c r="I152" s="189"/>
      <c r="J152" s="189"/>
      <c r="K152" s="189"/>
      <c r="L152" s="189"/>
      <c r="M152" s="189"/>
      <c r="N152" s="189"/>
      <c r="O152" s="189"/>
      <c r="P152" s="191"/>
      <c r="Q152" s="55"/>
    </row>
    <row r="153" spans="1:17" ht="16.5" customHeight="1">
      <c r="A153" s="190"/>
      <c r="B153" s="185"/>
      <c r="C153" s="185"/>
      <c r="D153" s="185"/>
      <c r="E153" s="18" t="s">
        <v>5</v>
      </c>
      <c r="F153" s="18" t="s">
        <v>6</v>
      </c>
      <c r="G153" s="18" t="s">
        <v>7</v>
      </c>
      <c r="H153" s="18" t="s">
        <v>10</v>
      </c>
      <c r="I153" s="18" t="s">
        <v>12</v>
      </c>
      <c r="J153" s="18" t="s">
        <v>11</v>
      </c>
      <c r="K153" s="18" t="s">
        <v>13</v>
      </c>
      <c r="L153" s="18" t="s">
        <v>9</v>
      </c>
      <c r="M153" s="18" t="s">
        <v>51</v>
      </c>
      <c r="N153" s="18" t="s">
        <v>52</v>
      </c>
      <c r="O153" s="18" t="s">
        <v>8</v>
      </c>
      <c r="P153" s="191"/>
      <c r="Q153" s="55"/>
    </row>
    <row r="154" spans="1:17" ht="16.5" customHeight="1">
      <c r="A154" s="157" t="s">
        <v>14</v>
      </c>
      <c r="B154" s="51"/>
      <c r="C154" s="51"/>
      <c r="D154" s="9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14"/>
      <c r="Q154" s="55"/>
    </row>
    <row r="155" spans="1:17" s="11" customFormat="1" ht="16.5" customHeight="1">
      <c r="A155" s="70" t="s">
        <v>35</v>
      </c>
      <c r="B155" s="10"/>
      <c r="C155" s="10"/>
      <c r="D155" s="10">
        <v>180</v>
      </c>
      <c r="E155" s="16">
        <f>E156+E157+E158+E159+E160+E161+E162</f>
        <v>4.2735</v>
      </c>
      <c r="F155" s="16">
        <f aca="true" t="shared" si="26" ref="F155:P155">F156+F157+F158+F159+F160+F161+F162</f>
        <v>7.011</v>
      </c>
      <c r="G155" s="16">
        <f t="shared" si="26"/>
        <v>19.170500000000004</v>
      </c>
      <c r="H155" s="16">
        <f t="shared" si="26"/>
        <v>105.46499999999999</v>
      </c>
      <c r="I155" s="16">
        <f t="shared" si="26"/>
        <v>36.17</v>
      </c>
      <c r="J155" s="16">
        <f t="shared" si="26"/>
        <v>75.55</v>
      </c>
      <c r="K155" s="16">
        <f t="shared" si="26"/>
        <v>2.3070000000000004</v>
      </c>
      <c r="L155" s="16">
        <f t="shared" si="26"/>
        <v>0.47359999999999997</v>
      </c>
      <c r="M155" s="16">
        <f t="shared" si="26"/>
        <v>0.1282</v>
      </c>
      <c r="N155" s="16">
        <f t="shared" si="26"/>
        <v>0.10400000000000001</v>
      </c>
      <c r="O155" s="16">
        <f t="shared" si="26"/>
        <v>105.99000000000001</v>
      </c>
      <c r="P155" s="71">
        <f t="shared" si="26"/>
        <v>153.475</v>
      </c>
      <c r="Q155" s="56"/>
    </row>
    <row r="156" spans="1:17" ht="16.5" customHeight="1">
      <c r="A156" s="72" t="s">
        <v>46</v>
      </c>
      <c r="B156" s="20">
        <v>9</v>
      </c>
      <c r="C156" s="20">
        <v>7.5</v>
      </c>
      <c r="D156" s="20"/>
      <c r="E156" s="23">
        <f>1.7*C156/100</f>
        <v>0.1275</v>
      </c>
      <c r="F156" s="23">
        <v>0</v>
      </c>
      <c r="G156" s="23">
        <f>9.5*C156/100</f>
        <v>0.7125</v>
      </c>
      <c r="H156" s="23">
        <f>31*C156/100</f>
        <v>2.325</v>
      </c>
      <c r="I156" s="23">
        <f>14*C156/100</f>
        <v>1.05</v>
      </c>
      <c r="J156" s="23">
        <f>58*C156/100</f>
        <v>4.35</v>
      </c>
      <c r="K156" s="23">
        <f>0.8*C156/100</f>
        <v>0.06</v>
      </c>
      <c r="L156" s="23">
        <v>0</v>
      </c>
      <c r="M156" s="23">
        <v>0</v>
      </c>
      <c r="N156" s="23">
        <v>0</v>
      </c>
      <c r="O156" s="23">
        <f>10*C156/100</f>
        <v>0.75</v>
      </c>
      <c r="P156" s="74">
        <f>43*C156/100</f>
        <v>3.225</v>
      </c>
      <c r="Q156" s="55"/>
    </row>
    <row r="157" spans="1:17" ht="16.5" customHeight="1">
      <c r="A157" s="72" t="s">
        <v>47</v>
      </c>
      <c r="B157" s="20">
        <v>5</v>
      </c>
      <c r="C157" s="20">
        <v>4</v>
      </c>
      <c r="D157" s="20"/>
      <c r="E157" s="24">
        <f>1.3*C157/100</f>
        <v>0.052000000000000005</v>
      </c>
      <c r="F157" s="24"/>
      <c r="G157" s="24">
        <f>7*C157/100</f>
        <v>0.28</v>
      </c>
      <c r="H157" s="24">
        <f>51*C157/100</f>
        <v>2.04</v>
      </c>
      <c r="I157" s="24">
        <f>38*C157/100</f>
        <v>1.52</v>
      </c>
      <c r="J157" s="24">
        <f>55*C157/100</f>
        <v>2.2</v>
      </c>
      <c r="K157" s="24">
        <f>1.2*C157/100</f>
        <v>0.048</v>
      </c>
      <c r="L157" s="24">
        <f>9*C157/100</f>
        <v>0.36</v>
      </c>
      <c r="M157" s="24">
        <v>0</v>
      </c>
      <c r="N157" s="24">
        <v>0</v>
      </c>
      <c r="O157" s="24">
        <f>5*C157/100</f>
        <v>0.2</v>
      </c>
      <c r="P157" s="75">
        <f>33*C157/100</f>
        <v>1.32</v>
      </c>
      <c r="Q157" s="55"/>
    </row>
    <row r="158" spans="1:17" ht="16.5" customHeight="1">
      <c r="A158" s="95" t="s">
        <v>59</v>
      </c>
      <c r="B158" s="20">
        <v>7</v>
      </c>
      <c r="C158" s="20">
        <v>7</v>
      </c>
      <c r="D158" s="20"/>
      <c r="E158" s="23"/>
      <c r="F158" s="3">
        <f>99.9*C158/100</f>
        <v>6.993</v>
      </c>
      <c r="G158" s="3"/>
      <c r="H158" s="3"/>
      <c r="I158" s="3"/>
      <c r="J158" s="3"/>
      <c r="K158" s="3"/>
      <c r="L158" s="3"/>
      <c r="M158" s="3"/>
      <c r="N158" s="3"/>
      <c r="O158" s="3"/>
      <c r="P158" s="76">
        <f>899*C158/100</f>
        <v>62.93</v>
      </c>
      <c r="Q158" s="55"/>
    </row>
    <row r="159" spans="1:17" ht="16.5" customHeight="1">
      <c r="A159" s="72" t="s">
        <v>80</v>
      </c>
      <c r="B159" s="20">
        <v>260</v>
      </c>
      <c r="C159" s="20">
        <v>208</v>
      </c>
      <c r="D159" s="20"/>
      <c r="E159" s="24">
        <f>1.8*C159/100</f>
        <v>3.744</v>
      </c>
      <c r="F159" s="24"/>
      <c r="G159" s="24">
        <f>5.4*C159/100</f>
        <v>11.232000000000001</v>
      </c>
      <c r="H159" s="24">
        <f>48*C159/100</f>
        <v>99.84</v>
      </c>
      <c r="I159" s="24">
        <f>16*C159/100</f>
        <v>33.28</v>
      </c>
      <c r="J159" s="24">
        <f>31*C159/100</f>
        <v>64.48</v>
      </c>
      <c r="K159" s="24">
        <f>1*C159/100</f>
        <v>2.08</v>
      </c>
      <c r="L159" s="24">
        <f>0.02*C159/100</f>
        <v>0.0416</v>
      </c>
      <c r="M159" s="24">
        <f>0.06*C159/100</f>
        <v>0.12480000000000001</v>
      </c>
      <c r="N159" s="24">
        <f>0.05*C159/100</f>
        <v>0.10400000000000001</v>
      </c>
      <c r="O159" s="24">
        <f>50*C159/100</f>
        <v>104</v>
      </c>
      <c r="P159" s="75">
        <f>28*C159/100</f>
        <v>58.24</v>
      </c>
      <c r="Q159" s="55"/>
    </row>
    <row r="160" spans="1:17" ht="16.5" customHeight="1">
      <c r="A160" s="72" t="s">
        <v>60</v>
      </c>
      <c r="B160" s="20">
        <v>4</v>
      </c>
      <c r="C160" s="20">
        <v>4</v>
      </c>
      <c r="D160" s="20"/>
      <c r="E160" s="21">
        <f>3.6*C160/100</f>
        <v>0.14400000000000002</v>
      </c>
      <c r="F160" s="21"/>
      <c r="G160" s="21">
        <f>11.8*C160/100</f>
        <v>0.47200000000000003</v>
      </c>
      <c r="H160" s="21">
        <f>20*C160/100</f>
        <v>0.8</v>
      </c>
      <c r="I160" s="21"/>
      <c r="J160" s="21">
        <f>70*C160/100</f>
        <v>2.8</v>
      </c>
      <c r="K160" s="21">
        <f>2*C160/100</f>
        <v>0.08</v>
      </c>
      <c r="L160" s="21">
        <f>1.8*C160/100</f>
        <v>0.07200000000000001</v>
      </c>
      <c r="M160" s="21"/>
      <c r="N160" s="21"/>
      <c r="O160" s="21">
        <f>26*C160/100</f>
        <v>1.04</v>
      </c>
      <c r="P160" s="73">
        <f>63*C160/100</f>
        <v>2.52</v>
      </c>
      <c r="Q160" s="55"/>
    </row>
    <row r="161" spans="1:17" ht="16.5" customHeight="1">
      <c r="A161" s="72" t="s">
        <v>53</v>
      </c>
      <c r="B161" s="20">
        <v>5</v>
      </c>
      <c r="C161" s="20">
        <v>5</v>
      </c>
      <c r="D161" s="20"/>
      <c r="E161" s="21"/>
      <c r="F161" s="21"/>
      <c r="G161" s="3">
        <f>99.8*C161/100</f>
        <v>4.99</v>
      </c>
      <c r="H161" s="3">
        <f>2*C161/100</f>
        <v>0.1</v>
      </c>
      <c r="I161" s="3"/>
      <c r="J161" s="3"/>
      <c r="K161" s="3">
        <f>0.3*C161/100</f>
        <v>0.015</v>
      </c>
      <c r="L161" s="3"/>
      <c r="M161" s="3"/>
      <c r="N161" s="3"/>
      <c r="O161" s="3"/>
      <c r="P161" s="76">
        <f>374*C161/100</f>
        <v>18.7</v>
      </c>
      <c r="Q161" s="55"/>
    </row>
    <row r="162" spans="1:17" ht="16.5" customHeight="1">
      <c r="A162" s="72" t="s">
        <v>64</v>
      </c>
      <c r="B162" s="20">
        <v>2</v>
      </c>
      <c r="C162" s="20">
        <v>2</v>
      </c>
      <c r="D162" s="20"/>
      <c r="E162" s="3">
        <f>10.3*C162/100</f>
        <v>0.20600000000000002</v>
      </c>
      <c r="F162" s="3">
        <f>0.9*C162/100</f>
        <v>0.018000000000000002</v>
      </c>
      <c r="G162" s="3">
        <f>74.2*C162/100</f>
        <v>1.484</v>
      </c>
      <c r="H162" s="3">
        <f>18*C162/100</f>
        <v>0.36</v>
      </c>
      <c r="I162" s="3">
        <f>16*C162/100</f>
        <v>0.32</v>
      </c>
      <c r="J162" s="3">
        <f>86*C162/100</f>
        <v>1.72</v>
      </c>
      <c r="K162" s="3">
        <f>1.2*C162/100</f>
        <v>0.024</v>
      </c>
      <c r="L162" s="3"/>
      <c r="M162" s="3">
        <f>0.17*C162/100</f>
        <v>0.0034000000000000002</v>
      </c>
      <c r="N162" s="3"/>
      <c r="O162" s="3"/>
      <c r="P162" s="76">
        <f>327*C162/100</f>
        <v>6.54</v>
      </c>
      <c r="Q162" s="55"/>
    </row>
    <row r="163" spans="1:17" s="11" customFormat="1" ht="16.5" customHeight="1">
      <c r="A163" s="88" t="s">
        <v>121</v>
      </c>
      <c r="B163" s="9">
        <v>51</v>
      </c>
      <c r="C163" s="9">
        <v>50</v>
      </c>
      <c r="D163" s="10">
        <v>50</v>
      </c>
      <c r="E163" s="16">
        <f>12.3*C163/100</f>
        <v>6.15</v>
      </c>
      <c r="F163" s="16">
        <f>25.3*C163/100</f>
        <v>12.65</v>
      </c>
      <c r="G163" s="16"/>
      <c r="H163" s="16">
        <f>29*C163/100</f>
        <v>14.5</v>
      </c>
      <c r="I163" s="16">
        <f>20*C163/100</f>
        <v>10</v>
      </c>
      <c r="J163" s="16">
        <f>161*C163/100</f>
        <v>80.5</v>
      </c>
      <c r="K163" s="16">
        <f>1.7*C163/100</f>
        <v>0.85</v>
      </c>
      <c r="L163" s="16"/>
      <c r="M163" s="16"/>
      <c r="N163" s="16"/>
      <c r="O163" s="16"/>
      <c r="P163" s="71">
        <f>277*C163/100</f>
        <v>138.5</v>
      </c>
      <c r="Q163" s="56"/>
    </row>
    <row r="164" spans="1:17" ht="16.5" customHeight="1">
      <c r="A164" s="70" t="s">
        <v>122</v>
      </c>
      <c r="B164" s="10"/>
      <c r="C164" s="10"/>
      <c r="D164" s="10">
        <v>200</v>
      </c>
      <c r="E164" s="16">
        <f>E165+E166</f>
        <v>0.2</v>
      </c>
      <c r="F164" s="16">
        <f aca="true" t="shared" si="27" ref="F164:O164">F165+F166</f>
        <v>0</v>
      </c>
      <c r="G164" s="16">
        <f t="shared" si="27"/>
        <v>15.039000000000001</v>
      </c>
      <c r="H164" s="16">
        <f t="shared" si="27"/>
        <v>5.25</v>
      </c>
      <c r="I164" s="16">
        <f t="shared" si="27"/>
        <v>4.4</v>
      </c>
      <c r="J164" s="16">
        <f t="shared" si="27"/>
        <v>8.25</v>
      </c>
      <c r="K164" s="16">
        <f t="shared" si="27"/>
        <v>0.865</v>
      </c>
      <c r="L164" s="16">
        <f t="shared" si="27"/>
        <v>0</v>
      </c>
      <c r="M164" s="16">
        <f t="shared" si="27"/>
        <v>0</v>
      </c>
      <c r="N164" s="16">
        <f t="shared" si="27"/>
        <v>0</v>
      </c>
      <c r="O164" s="16">
        <f t="shared" si="27"/>
        <v>0.1</v>
      </c>
      <c r="P164" s="71">
        <f>P165+P166</f>
        <v>57.190000000000005</v>
      </c>
      <c r="Q164" s="55"/>
    </row>
    <row r="165" spans="1:17" ht="16.5" customHeight="1">
      <c r="A165" s="72" t="s">
        <v>67</v>
      </c>
      <c r="B165" s="20">
        <v>1</v>
      </c>
      <c r="C165" s="20">
        <v>1</v>
      </c>
      <c r="D165" s="20"/>
      <c r="E165" s="3">
        <f>20*C165/100</f>
        <v>0.2</v>
      </c>
      <c r="F165" s="3"/>
      <c r="G165" s="3">
        <f>6.9*C165/100</f>
        <v>0.069</v>
      </c>
      <c r="H165" s="3">
        <f>495*C165/100</f>
        <v>4.95</v>
      </c>
      <c r="I165" s="3">
        <f>440*C165/100</f>
        <v>4.4</v>
      </c>
      <c r="J165" s="3">
        <f>825*C165/100</f>
        <v>8.25</v>
      </c>
      <c r="K165" s="3">
        <f>82*C165/100</f>
        <v>0.82</v>
      </c>
      <c r="L165" s="3"/>
      <c r="M165" s="3"/>
      <c r="N165" s="3"/>
      <c r="O165" s="3">
        <f>10*C165/100</f>
        <v>0.1</v>
      </c>
      <c r="P165" s="76">
        <f>109*C165/100</f>
        <v>1.09</v>
      </c>
      <c r="Q165" s="55"/>
    </row>
    <row r="166" spans="1:17" ht="16.5" customHeight="1">
      <c r="A166" s="72" t="s">
        <v>53</v>
      </c>
      <c r="B166" s="20">
        <v>15</v>
      </c>
      <c r="C166" s="20">
        <v>15</v>
      </c>
      <c r="D166" s="20"/>
      <c r="E166" s="23"/>
      <c r="F166" s="23"/>
      <c r="G166" s="3">
        <f>99.8*C166/100</f>
        <v>14.97</v>
      </c>
      <c r="H166" s="3">
        <f>2*C166/100</f>
        <v>0.3</v>
      </c>
      <c r="I166" s="3"/>
      <c r="J166" s="3"/>
      <c r="K166" s="3">
        <f>0.3*C166/100</f>
        <v>0.045</v>
      </c>
      <c r="L166" s="3"/>
      <c r="M166" s="3"/>
      <c r="N166" s="3"/>
      <c r="O166" s="3"/>
      <c r="P166" s="76">
        <f>374*C166/100</f>
        <v>56.1</v>
      </c>
      <c r="Q166" s="55"/>
    </row>
    <row r="167" spans="1:17" ht="16.5" customHeight="1">
      <c r="A167" s="70" t="s">
        <v>16</v>
      </c>
      <c r="B167" s="9">
        <v>40</v>
      </c>
      <c r="C167" s="9">
        <v>40</v>
      </c>
      <c r="D167" s="10">
        <v>40</v>
      </c>
      <c r="E167" s="16">
        <f>7.6*C167/100</f>
        <v>3.04</v>
      </c>
      <c r="F167" s="16">
        <f>0.6*C167/100</f>
        <v>0.24</v>
      </c>
      <c r="G167" s="16">
        <f>52.3*C167/100</f>
        <v>20.92</v>
      </c>
      <c r="H167" s="16">
        <f>20*C167/100</f>
        <v>8</v>
      </c>
      <c r="I167" s="16">
        <f>14*C167/100</f>
        <v>5.6</v>
      </c>
      <c r="J167" s="16">
        <f>65*C167/100</f>
        <v>26</v>
      </c>
      <c r="K167" s="16">
        <f>0.9*C167/100</f>
        <v>0.36</v>
      </c>
      <c r="L167" s="16">
        <v>0</v>
      </c>
      <c r="M167" s="16">
        <f>0.11*C167/100</f>
        <v>0.044000000000000004</v>
      </c>
      <c r="N167" s="16">
        <f>0.06*C167/100</f>
        <v>0.024</v>
      </c>
      <c r="O167" s="16">
        <v>0</v>
      </c>
      <c r="P167" s="71">
        <f>233*C167/100</f>
        <v>93.2</v>
      </c>
      <c r="Q167" s="55"/>
    </row>
    <row r="168" spans="1:17" ht="16.5" customHeight="1">
      <c r="A168" s="70" t="s">
        <v>17</v>
      </c>
      <c r="B168" s="9">
        <v>25</v>
      </c>
      <c r="C168" s="9">
        <v>25</v>
      </c>
      <c r="D168" s="10">
        <v>25</v>
      </c>
      <c r="E168" s="16">
        <f>6.5*C168/100</f>
        <v>1.625</v>
      </c>
      <c r="F168" s="16">
        <f>1*C168/100</f>
        <v>0.25</v>
      </c>
      <c r="G168" s="16">
        <f>40.1*C168/100</f>
        <v>10.025</v>
      </c>
      <c r="H168" s="16">
        <f>38*C168/100</f>
        <v>9.5</v>
      </c>
      <c r="I168" s="16">
        <f>49*C168/100</f>
        <v>12.25</v>
      </c>
      <c r="J168" s="16">
        <f>156*C168/100</f>
        <v>39</v>
      </c>
      <c r="K168" s="16">
        <f>2.6*C168/100</f>
        <v>0.65</v>
      </c>
      <c r="L168" s="16">
        <v>0</v>
      </c>
      <c r="M168" s="16">
        <f>0.18*C168/100</f>
        <v>0.045</v>
      </c>
      <c r="N168" s="16">
        <f>0.11*C168/100</f>
        <v>0.0275</v>
      </c>
      <c r="O168" s="16">
        <v>0</v>
      </c>
      <c r="P168" s="71">
        <f>190*C168/100</f>
        <v>47.5</v>
      </c>
      <c r="Q168" s="55"/>
    </row>
    <row r="169" spans="1:17" s="107" customFormat="1" ht="33" customHeight="1" thickBot="1">
      <c r="A169" s="89" t="s">
        <v>18</v>
      </c>
      <c r="B169" s="90"/>
      <c r="C169" s="90"/>
      <c r="D169" s="90"/>
      <c r="E169" s="90">
        <f>E155+E163+E164+E167+E168</f>
        <v>15.288499999999999</v>
      </c>
      <c r="F169" s="90">
        <f aca="true" t="shared" si="28" ref="F169:P169">F155+F163+F164+F167+F168</f>
        <v>20.151</v>
      </c>
      <c r="G169" s="90">
        <f t="shared" si="28"/>
        <v>65.15450000000001</v>
      </c>
      <c r="H169" s="90">
        <f t="shared" si="28"/>
        <v>142.71499999999997</v>
      </c>
      <c r="I169" s="90">
        <f t="shared" si="28"/>
        <v>68.42</v>
      </c>
      <c r="J169" s="90">
        <f t="shared" si="28"/>
        <v>229.3</v>
      </c>
      <c r="K169" s="90">
        <f t="shared" si="28"/>
        <v>5.032000000000001</v>
      </c>
      <c r="L169" s="90">
        <f t="shared" si="28"/>
        <v>0.47359999999999997</v>
      </c>
      <c r="M169" s="90">
        <f t="shared" si="28"/>
        <v>0.2172</v>
      </c>
      <c r="N169" s="90">
        <f t="shared" si="28"/>
        <v>0.1555</v>
      </c>
      <c r="O169" s="90">
        <f t="shared" si="28"/>
        <v>106.09</v>
      </c>
      <c r="P169" s="91">
        <f t="shared" si="28"/>
        <v>489.865</v>
      </c>
      <c r="Q169" s="156"/>
    </row>
    <row r="170" spans="1:17" s="35" customFormat="1" ht="16.5" customHeight="1">
      <c r="A170" s="65" t="s">
        <v>19</v>
      </c>
      <c r="B170" s="66"/>
      <c r="C170" s="66"/>
      <c r="D170" s="67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9"/>
      <c r="Q170" s="54"/>
    </row>
    <row r="171" spans="1:17" s="35" customFormat="1" ht="16.5" customHeight="1">
      <c r="A171" s="190" t="s">
        <v>0</v>
      </c>
      <c r="B171" s="185" t="s">
        <v>40</v>
      </c>
      <c r="C171" s="185" t="s">
        <v>41</v>
      </c>
      <c r="D171" s="185" t="s">
        <v>42</v>
      </c>
      <c r="E171" s="189" t="s">
        <v>1</v>
      </c>
      <c r="F171" s="189"/>
      <c r="G171" s="189"/>
      <c r="H171" s="189" t="s">
        <v>3</v>
      </c>
      <c r="I171" s="189"/>
      <c r="J171" s="189"/>
      <c r="K171" s="189"/>
      <c r="L171" s="189" t="s">
        <v>2</v>
      </c>
      <c r="M171" s="189"/>
      <c r="N171" s="189"/>
      <c r="O171" s="189"/>
      <c r="P171" s="191" t="s">
        <v>43</v>
      </c>
      <c r="Q171" s="54"/>
    </row>
    <row r="172" spans="1:17" s="35" customFormat="1" ht="16.5" customHeight="1">
      <c r="A172" s="190"/>
      <c r="B172" s="185"/>
      <c r="C172" s="185"/>
      <c r="D172" s="185"/>
      <c r="E172" s="189"/>
      <c r="F172" s="189"/>
      <c r="G172" s="189"/>
      <c r="H172" s="189" t="s">
        <v>4</v>
      </c>
      <c r="I172" s="189"/>
      <c r="J172" s="189"/>
      <c r="K172" s="196"/>
      <c r="L172" s="189"/>
      <c r="M172" s="189"/>
      <c r="N172" s="189"/>
      <c r="O172" s="189"/>
      <c r="P172" s="191"/>
      <c r="Q172" s="54"/>
    </row>
    <row r="173" spans="1:17" s="35" customFormat="1" ht="16.5" customHeight="1">
      <c r="A173" s="190"/>
      <c r="B173" s="185"/>
      <c r="C173" s="185"/>
      <c r="D173" s="185"/>
      <c r="E173" s="18" t="s">
        <v>5</v>
      </c>
      <c r="F173" s="18" t="s">
        <v>6</v>
      </c>
      <c r="G173" s="18" t="s">
        <v>7</v>
      </c>
      <c r="H173" s="18" t="s">
        <v>10</v>
      </c>
      <c r="I173" s="18" t="s">
        <v>12</v>
      </c>
      <c r="J173" s="145" t="s">
        <v>11</v>
      </c>
      <c r="K173" s="18" t="s">
        <v>13</v>
      </c>
      <c r="L173" s="148" t="s">
        <v>9</v>
      </c>
      <c r="M173" s="18" t="s">
        <v>51</v>
      </c>
      <c r="N173" s="18" t="s">
        <v>52</v>
      </c>
      <c r="O173" s="18" t="s">
        <v>8</v>
      </c>
      <c r="P173" s="191"/>
      <c r="Q173" s="54"/>
    </row>
    <row r="174" spans="1:17" s="11" customFormat="1" ht="16.5" customHeight="1">
      <c r="A174" s="70" t="s">
        <v>119</v>
      </c>
      <c r="B174" s="10"/>
      <c r="C174" s="10"/>
      <c r="D174" s="10">
        <v>250</v>
      </c>
      <c r="E174" s="16">
        <f>E175+E176+E177+E178+E179+E180+E181+E182</f>
        <v>6.553</v>
      </c>
      <c r="F174" s="16">
        <f aca="true" t="shared" si="29" ref="F174:P174">F175+F176+F177+F178+F179+F180+F181+F182</f>
        <v>14.712</v>
      </c>
      <c r="G174" s="16">
        <f t="shared" si="29"/>
        <v>3.273</v>
      </c>
      <c r="H174" s="16">
        <f t="shared" si="29"/>
        <v>24.45</v>
      </c>
      <c r="I174" s="16">
        <f t="shared" si="29"/>
        <v>10.44</v>
      </c>
      <c r="J174" s="146">
        <f t="shared" si="29"/>
        <v>73.96</v>
      </c>
      <c r="K174" s="16">
        <f t="shared" si="29"/>
        <v>1.1920000000000002</v>
      </c>
      <c r="L174" s="149">
        <f t="shared" si="29"/>
        <v>0.0975</v>
      </c>
      <c r="M174" s="16">
        <f t="shared" si="29"/>
        <v>0</v>
      </c>
      <c r="N174" s="16">
        <f t="shared" si="29"/>
        <v>0.0055000000000000005</v>
      </c>
      <c r="O174" s="16">
        <f t="shared" si="29"/>
        <v>4.715</v>
      </c>
      <c r="P174" s="71">
        <f t="shared" si="29"/>
        <v>172.39000000000004</v>
      </c>
      <c r="Q174" s="56"/>
    </row>
    <row r="175" spans="1:17" s="40" customFormat="1" ht="16.5" customHeight="1">
      <c r="A175" s="72" t="s">
        <v>97</v>
      </c>
      <c r="B175" s="20">
        <v>10</v>
      </c>
      <c r="C175" s="20">
        <v>10</v>
      </c>
      <c r="D175" s="39"/>
      <c r="E175" s="23">
        <f>13.7*C175/100</f>
        <v>1.37</v>
      </c>
      <c r="F175" s="23">
        <f>22.8*C175/100</f>
        <v>2.28</v>
      </c>
      <c r="G175" s="23"/>
      <c r="H175" s="23">
        <f>29*C175/100</f>
        <v>2.9</v>
      </c>
      <c r="I175" s="23">
        <f>22*C175/100</f>
        <v>2.2</v>
      </c>
      <c r="J175" s="139">
        <f>178*C175/100</f>
        <v>17.8</v>
      </c>
      <c r="K175" s="23">
        <f>1.7*C175/100</f>
        <v>0.17</v>
      </c>
      <c r="L175" s="150"/>
      <c r="M175" s="23"/>
      <c r="N175" s="23"/>
      <c r="O175" s="23"/>
      <c r="P175" s="74">
        <f>260*C175/100</f>
        <v>26</v>
      </c>
      <c r="Q175" s="83"/>
    </row>
    <row r="176" spans="1:17" s="40" customFormat="1" ht="16.5" customHeight="1">
      <c r="A176" s="72" t="s">
        <v>123</v>
      </c>
      <c r="B176" s="20">
        <v>22</v>
      </c>
      <c r="C176" s="20">
        <v>22</v>
      </c>
      <c r="D176" s="39"/>
      <c r="E176" s="23">
        <f>17.1*C176/100</f>
        <v>3.7620000000000005</v>
      </c>
      <c r="F176" s="23">
        <f>33.8*C176/100</f>
        <v>7.435999999999999</v>
      </c>
      <c r="G176" s="23"/>
      <c r="H176" s="23">
        <f>9*C176/100</f>
        <v>1.98</v>
      </c>
      <c r="I176" s="23">
        <f>20*C176/100</f>
        <v>4.4</v>
      </c>
      <c r="J176" s="139">
        <f>142*C176/100</f>
        <v>31.24</v>
      </c>
      <c r="K176" s="23">
        <f>1.9*C176/100</f>
        <v>0.418</v>
      </c>
      <c r="L176" s="150"/>
      <c r="M176" s="23"/>
      <c r="N176" s="23"/>
      <c r="O176" s="23"/>
      <c r="P176" s="74">
        <f>372*C176/100</f>
        <v>81.84</v>
      </c>
      <c r="Q176" s="83"/>
    </row>
    <row r="177" spans="1:17" s="40" customFormat="1" ht="16.5" customHeight="1">
      <c r="A177" s="72" t="s">
        <v>46</v>
      </c>
      <c r="B177" s="20">
        <v>26</v>
      </c>
      <c r="C177" s="20">
        <v>22</v>
      </c>
      <c r="D177" s="39"/>
      <c r="E177" s="23">
        <f>1.7*C177/100</f>
        <v>0.374</v>
      </c>
      <c r="F177" s="23">
        <v>0</v>
      </c>
      <c r="G177" s="23">
        <f>9.5*C177/100</f>
        <v>2.09</v>
      </c>
      <c r="H177" s="23">
        <f>31*C177/100</f>
        <v>6.82</v>
      </c>
      <c r="I177" s="23">
        <f>14*C177/100</f>
        <v>3.08</v>
      </c>
      <c r="J177" s="139">
        <f>58*C177/100</f>
        <v>12.76</v>
      </c>
      <c r="K177" s="23">
        <f>0.8*C177/100</f>
        <v>0.17600000000000002</v>
      </c>
      <c r="L177" s="150">
        <v>0</v>
      </c>
      <c r="M177" s="23">
        <v>0</v>
      </c>
      <c r="N177" s="23">
        <v>0</v>
      </c>
      <c r="O177" s="23">
        <f>10*C177/100</f>
        <v>2.2</v>
      </c>
      <c r="P177" s="74">
        <f>43*C177/100</f>
        <v>9.46</v>
      </c>
      <c r="Q177" s="83"/>
    </row>
    <row r="178" spans="1:17" s="40" customFormat="1" ht="16.5" customHeight="1">
      <c r="A178" s="72" t="s">
        <v>124</v>
      </c>
      <c r="B178" s="20">
        <v>25</v>
      </c>
      <c r="C178" s="20">
        <v>25</v>
      </c>
      <c r="D178" s="39"/>
      <c r="E178" s="23">
        <f>2.8*C178/100</f>
        <v>0.7</v>
      </c>
      <c r="F178" s="23"/>
      <c r="G178" s="23">
        <f>1.3*C178/100</f>
        <v>0.325</v>
      </c>
      <c r="H178" s="23">
        <f>25*C178/100</f>
        <v>6.25</v>
      </c>
      <c r="I178" s="23"/>
      <c r="J178" s="139">
        <f>20*C178/100</f>
        <v>5</v>
      </c>
      <c r="K178" s="23">
        <f>1.2*C178/100</f>
        <v>0.3</v>
      </c>
      <c r="L178" s="150"/>
      <c r="M178" s="23"/>
      <c r="N178" s="23"/>
      <c r="O178" s="23"/>
      <c r="P178" s="74">
        <f>19*C178/100</f>
        <v>4.75</v>
      </c>
      <c r="Q178" s="83"/>
    </row>
    <row r="179" spans="1:17" s="40" customFormat="1" ht="16.5" customHeight="1">
      <c r="A179" s="72" t="s">
        <v>60</v>
      </c>
      <c r="B179" s="20">
        <v>5</v>
      </c>
      <c r="C179" s="20">
        <v>5</v>
      </c>
      <c r="D179" s="39"/>
      <c r="E179" s="21">
        <f>3.6*C179/100</f>
        <v>0.18</v>
      </c>
      <c r="F179" s="21"/>
      <c r="G179" s="21">
        <f>11.8*C179/100</f>
        <v>0.59</v>
      </c>
      <c r="H179" s="21">
        <f>20*C179/100</f>
        <v>1</v>
      </c>
      <c r="I179" s="21"/>
      <c r="J179" s="147">
        <f>70*C179/100</f>
        <v>3.5</v>
      </c>
      <c r="K179" s="21">
        <f>2*C179/100</f>
        <v>0.1</v>
      </c>
      <c r="L179" s="151">
        <f>1.8*C179/100</f>
        <v>0.09</v>
      </c>
      <c r="M179" s="21"/>
      <c r="N179" s="21"/>
      <c r="O179" s="21">
        <f>26*C179/100</f>
        <v>1.3</v>
      </c>
      <c r="P179" s="73">
        <f>63*C179/100</f>
        <v>3.15</v>
      </c>
      <c r="Q179" s="83"/>
    </row>
    <row r="180" spans="1:17" s="40" customFormat="1" ht="16.5" customHeight="1">
      <c r="A180" s="72" t="s">
        <v>140</v>
      </c>
      <c r="B180" s="20">
        <v>4</v>
      </c>
      <c r="C180" s="20">
        <v>4</v>
      </c>
      <c r="D180" s="39"/>
      <c r="E180" s="24"/>
      <c r="F180" s="3">
        <f>99.9*C180/100</f>
        <v>3.9960000000000004</v>
      </c>
      <c r="G180" s="3"/>
      <c r="H180" s="3"/>
      <c r="I180" s="3"/>
      <c r="J180" s="3"/>
      <c r="K180" s="152"/>
      <c r="L180" s="3"/>
      <c r="M180" s="3"/>
      <c r="N180" s="3"/>
      <c r="O180" s="3"/>
      <c r="P180" s="76">
        <f>899*C180/100</f>
        <v>35.96</v>
      </c>
      <c r="Q180" s="83"/>
    </row>
    <row r="181" spans="1:17" s="40" customFormat="1" ht="16.5" customHeight="1">
      <c r="A181" s="72" t="s">
        <v>61</v>
      </c>
      <c r="B181" s="20">
        <v>5</v>
      </c>
      <c r="C181" s="20">
        <v>5</v>
      </c>
      <c r="D181" s="39"/>
      <c r="E181" s="3">
        <f>2.8*C181/100</f>
        <v>0.14</v>
      </c>
      <c r="F181" s="3">
        <f>20*C181/100</f>
        <v>1</v>
      </c>
      <c r="G181" s="3">
        <f>3.2*C181/100</f>
        <v>0.16</v>
      </c>
      <c r="H181" s="3">
        <f>86*C181/100</f>
        <v>4.3</v>
      </c>
      <c r="I181" s="3">
        <f>8*C181/100</f>
        <v>0.4</v>
      </c>
      <c r="J181" s="3">
        <f>60*C181/100</f>
        <v>3</v>
      </c>
      <c r="K181" s="3">
        <f>0.2*C181/100</f>
        <v>0.01</v>
      </c>
      <c r="L181" s="3">
        <f>0.15*C181/100</f>
        <v>0.0075</v>
      </c>
      <c r="M181" s="3"/>
      <c r="N181" s="3">
        <f>0.11*C181/100</f>
        <v>0.0055000000000000005</v>
      </c>
      <c r="O181" s="3">
        <f>0.3*C181/100</f>
        <v>0.015</v>
      </c>
      <c r="P181" s="76">
        <f>206*C181/100</f>
        <v>10.3</v>
      </c>
      <c r="Q181" s="83"/>
    </row>
    <row r="182" spans="1:17" s="40" customFormat="1" ht="16.5" customHeight="1">
      <c r="A182" s="72" t="s">
        <v>87</v>
      </c>
      <c r="B182" s="20">
        <v>3</v>
      </c>
      <c r="C182" s="20">
        <v>3</v>
      </c>
      <c r="D182" s="20"/>
      <c r="E182" s="23">
        <f>0.9*C182/100</f>
        <v>0.027000000000000003</v>
      </c>
      <c r="F182" s="23"/>
      <c r="G182" s="23">
        <f>3.6*C182/100</f>
        <v>0.10800000000000001</v>
      </c>
      <c r="H182" s="23">
        <f>40*C182/100</f>
        <v>1.2</v>
      </c>
      <c r="I182" s="23">
        <f>12*C182/100</f>
        <v>0.36</v>
      </c>
      <c r="J182" s="23">
        <f>22*C182/100</f>
        <v>0.66</v>
      </c>
      <c r="K182" s="23">
        <f>0.6*C182/100</f>
        <v>0.018</v>
      </c>
      <c r="L182" s="23"/>
      <c r="M182" s="23"/>
      <c r="N182" s="23"/>
      <c r="O182" s="23">
        <f>40*C182/100</f>
        <v>1.2</v>
      </c>
      <c r="P182" s="74">
        <f>31*C182/100</f>
        <v>0.93</v>
      </c>
      <c r="Q182" s="83"/>
    </row>
    <row r="183" spans="1:17" s="11" customFormat="1" ht="16.5" customHeight="1">
      <c r="A183" s="186" t="s">
        <v>126</v>
      </c>
      <c r="B183" s="187"/>
      <c r="C183" s="188"/>
      <c r="D183" s="10">
        <v>280</v>
      </c>
      <c r="E183" s="16">
        <f>E184+E185+E186+E187+E188+E189</f>
        <v>26.405000000000005</v>
      </c>
      <c r="F183" s="16">
        <f aca="true" t="shared" si="30" ref="F183:P183">F184+F185+F186+F187+F188+F189</f>
        <v>25.297</v>
      </c>
      <c r="G183" s="16">
        <f t="shared" si="30"/>
        <v>38.329</v>
      </c>
      <c r="H183" s="16">
        <f t="shared" si="30"/>
        <v>37.52</v>
      </c>
      <c r="I183" s="16">
        <f t="shared" si="30"/>
        <v>74.73000000000002</v>
      </c>
      <c r="J183" s="16">
        <f t="shared" si="30"/>
        <v>383.96</v>
      </c>
      <c r="K183" s="16">
        <f t="shared" si="30"/>
        <v>3.816</v>
      </c>
      <c r="L183" s="16">
        <f t="shared" si="30"/>
        <v>0.2864</v>
      </c>
      <c r="M183" s="16">
        <f t="shared" si="30"/>
        <v>0.30419999999999997</v>
      </c>
      <c r="N183" s="16">
        <f t="shared" si="30"/>
        <v>0.27899999999999997</v>
      </c>
      <c r="O183" s="16">
        <f t="shared" si="30"/>
        <v>39.800000000000004</v>
      </c>
      <c r="P183" s="71">
        <f t="shared" si="30"/>
        <v>478.43000000000006</v>
      </c>
      <c r="Q183" s="56"/>
    </row>
    <row r="184" spans="1:17" s="35" customFormat="1" ht="16.5" customHeight="1">
      <c r="A184" s="72" t="s">
        <v>104</v>
      </c>
      <c r="B184" s="20">
        <v>175</v>
      </c>
      <c r="C184" s="20">
        <v>126</v>
      </c>
      <c r="D184" s="20"/>
      <c r="E184" s="3">
        <f>17.6*C184/100</f>
        <v>22.176000000000002</v>
      </c>
      <c r="F184" s="3">
        <f>12.3*C184/100</f>
        <v>15.498000000000001</v>
      </c>
      <c r="G184" s="3">
        <f>0.4*C184/100</f>
        <v>0.504</v>
      </c>
      <c r="H184" s="3">
        <f>10*C184/100</f>
        <v>12.6</v>
      </c>
      <c r="I184" s="3">
        <f>25*C184/100</f>
        <v>31.5</v>
      </c>
      <c r="J184" s="3">
        <f>210*C184/100</f>
        <v>264.6</v>
      </c>
      <c r="K184" s="3">
        <f>1.5*C184/100</f>
        <v>1.89</v>
      </c>
      <c r="L184" s="3">
        <f>0.04*C184/100</f>
        <v>0.0504</v>
      </c>
      <c r="M184" s="3">
        <f>0.07*C184/100</f>
        <v>0.0882</v>
      </c>
      <c r="N184" s="3">
        <f>0.15*C184/100</f>
        <v>0.18899999999999997</v>
      </c>
      <c r="O184" s="3"/>
      <c r="P184" s="76">
        <f>183*C184/100</f>
        <v>230.58</v>
      </c>
      <c r="Q184" s="54"/>
    </row>
    <row r="185" spans="1:17" s="28" customFormat="1" ht="16.5" customHeight="1">
      <c r="A185" s="95" t="s">
        <v>49</v>
      </c>
      <c r="B185" s="20">
        <v>250</v>
      </c>
      <c r="C185" s="20">
        <v>180</v>
      </c>
      <c r="D185" s="20"/>
      <c r="E185" s="21">
        <f>2*C185/100</f>
        <v>3.6</v>
      </c>
      <c r="F185" s="21">
        <f>0.1*C185/100</f>
        <v>0.18</v>
      </c>
      <c r="G185" s="21">
        <f>19.7*C185/100</f>
        <v>35.46</v>
      </c>
      <c r="H185" s="21">
        <f>10*C185/100</f>
        <v>18</v>
      </c>
      <c r="I185" s="21">
        <f>23*C185/100</f>
        <v>41.4</v>
      </c>
      <c r="J185" s="21">
        <f>58*C185/100</f>
        <v>104.4</v>
      </c>
      <c r="K185" s="21">
        <f>0.9*C185/100</f>
        <v>1.62</v>
      </c>
      <c r="L185" s="21">
        <f>0.02*C185/100</f>
        <v>0.036000000000000004</v>
      </c>
      <c r="M185" s="21">
        <f>0.12*C185/100</f>
        <v>0.21599999999999997</v>
      </c>
      <c r="N185" s="21">
        <f>0.05*C185/100</f>
        <v>0.09</v>
      </c>
      <c r="O185" s="21">
        <f>20*C185/100</f>
        <v>36</v>
      </c>
      <c r="P185" s="73">
        <f>83*C185/100</f>
        <v>149.4</v>
      </c>
      <c r="Q185" s="60"/>
    </row>
    <row r="186" spans="1:17" s="28" customFormat="1" ht="16.5" customHeight="1">
      <c r="A186" s="72" t="s">
        <v>46</v>
      </c>
      <c r="B186" s="20">
        <v>15</v>
      </c>
      <c r="C186" s="20">
        <v>12</v>
      </c>
      <c r="D186" s="9"/>
      <c r="E186" s="23">
        <f>1.7*C186/100</f>
        <v>0.204</v>
      </c>
      <c r="F186" s="23">
        <v>0</v>
      </c>
      <c r="G186" s="23">
        <f>9.5*C186/100</f>
        <v>1.14</v>
      </c>
      <c r="H186" s="23">
        <f>31*C186/100</f>
        <v>3.72</v>
      </c>
      <c r="I186" s="23">
        <f>14*C186/100</f>
        <v>1.68</v>
      </c>
      <c r="J186" s="23">
        <f>58*C186/100</f>
        <v>6.96</v>
      </c>
      <c r="K186" s="23">
        <f>0.8*C186/100</f>
        <v>0.09600000000000002</v>
      </c>
      <c r="L186" s="23">
        <v>0</v>
      </c>
      <c r="M186" s="23">
        <v>0</v>
      </c>
      <c r="N186" s="23">
        <v>0</v>
      </c>
      <c r="O186" s="23">
        <f>10*C186/100</f>
        <v>1.2</v>
      </c>
      <c r="P186" s="74">
        <f>43*C186/100</f>
        <v>5.16</v>
      </c>
      <c r="Q186" s="60"/>
    </row>
    <row r="187" spans="1:17" s="22" customFormat="1" ht="16.5" customHeight="1">
      <c r="A187" s="72" t="s">
        <v>59</v>
      </c>
      <c r="B187" s="20">
        <v>6</v>
      </c>
      <c r="C187" s="20">
        <v>6</v>
      </c>
      <c r="D187" s="20"/>
      <c r="E187" s="24"/>
      <c r="F187" s="3">
        <f>99.9*C187/100</f>
        <v>5.994000000000001</v>
      </c>
      <c r="G187" s="3"/>
      <c r="H187" s="3"/>
      <c r="I187" s="3"/>
      <c r="J187" s="3"/>
      <c r="K187" s="3"/>
      <c r="L187" s="3"/>
      <c r="M187" s="3"/>
      <c r="N187" s="3"/>
      <c r="O187" s="3"/>
      <c r="P187" s="76">
        <f>899*C187/100</f>
        <v>53.94</v>
      </c>
      <c r="Q187" s="59"/>
    </row>
    <row r="188" spans="1:17" s="22" customFormat="1" ht="16.5" customHeight="1">
      <c r="A188" s="72" t="s">
        <v>48</v>
      </c>
      <c r="B188" s="20">
        <v>5</v>
      </c>
      <c r="C188" s="20">
        <v>5</v>
      </c>
      <c r="D188" s="20"/>
      <c r="E188" s="21">
        <f>1.3*C188/100</f>
        <v>0.065</v>
      </c>
      <c r="F188" s="21">
        <f>72.5*C188/100</f>
        <v>3.625</v>
      </c>
      <c r="G188" s="21">
        <f>0.9*C188/100</f>
        <v>0.045</v>
      </c>
      <c r="H188" s="21">
        <f>24*C188/100</f>
        <v>1.2</v>
      </c>
      <c r="I188" s="21">
        <f>3*C188/100</f>
        <v>0.15</v>
      </c>
      <c r="J188" s="21">
        <f>20*C188/100</f>
        <v>1</v>
      </c>
      <c r="K188" s="21">
        <f>0.2*C188/100</f>
        <v>0.01</v>
      </c>
      <c r="L188" s="21">
        <f>0.4*C188/100</f>
        <v>0.02</v>
      </c>
      <c r="M188" s="21"/>
      <c r="N188" s="21"/>
      <c r="O188" s="21"/>
      <c r="P188" s="73">
        <f>661*C188/100</f>
        <v>33.05</v>
      </c>
      <c r="Q188" s="59"/>
    </row>
    <row r="189" spans="1:17" s="40" customFormat="1" ht="16.5" customHeight="1">
      <c r="A189" s="72" t="s">
        <v>60</v>
      </c>
      <c r="B189" s="20">
        <v>10</v>
      </c>
      <c r="C189" s="20">
        <v>10</v>
      </c>
      <c r="D189" s="20"/>
      <c r="E189" s="21">
        <f>3.6*C189/100</f>
        <v>0.36</v>
      </c>
      <c r="F189" s="21"/>
      <c r="G189" s="21">
        <f>11.8*C189/100</f>
        <v>1.18</v>
      </c>
      <c r="H189" s="21">
        <f>20*C189/100</f>
        <v>2</v>
      </c>
      <c r="I189" s="21"/>
      <c r="J189" s="21">
        <f>70*C189/100</f>
        <v>7</v>
      </c>
      <c r="K189" s="21">
        <f>2*C189/100</f>
        <v>0.2</v>
      </c>
      <c r="L189" s="21">
        <f>1.8*C189/100</f>
        <v>0.18</v>
      </c>
      <c r="M189" s="21"/>
      <c r="N189" s="21"/>
      <c r="O189" s="21">
        <f>26*C189/100</f>
        <v>2.6</v>
      </c>
      <c r="P189" s="73">
        <f>63*C189/100</f>
        <v>6.3</v>
      </c>
      <c r="Q189" s="83"/>
    </row>
    <row r="190" spans="1:17" ht="16.5" customHeight="1">
      <c r="A190" s="70" t="s">
        <v>16</v>
      </c>
      <c r="B190" s="9">
        <v>60</v>
      </c>
      <c r="C190" s="9">
        <v>60</v>
      </c>
      <c r="D190" s="10">
        <v>60</v>
      </c>
      <c r="E190" s="16">
        <f>7.6*C190/100</f>
        <v>4.56</v>
      </c>
      <c r="F190" s="16">
        <f>0.6*C190/100</f>
        <v>0.36</v>
      </c>
      <c r="G190" s="16">
        <f>52.3*C190/100</f>
        <v>31.38</v>
      </c>
      <c r="H190" s="16">
        <f>20*C190/100</f>
        <v>12</v>
      </c>
      <c r="I190" s="16">
        <f>14*C190/100</f>
        <v>8.4</v>
      </c>
      <c r="J190" s="16">
        <f>65*C190/100</f>
        <v>39</v>
      </c>
      <c r="K190" s="16">
        <f>0.9*C190/100</f>
        <v>0.54</v>
      </c>
      <c r="L190" s="16">
        <v>0</v>
      </c>
      <c r="M190" s="16">
        <f>0.11*C190/100</f>
        <v>0.066</v>
      </c>
      <c r="N190" s="16">
        <f>0.06*C190/100</f>
        <v>0.036</v>
      </c>
      <c r="O190" s="16">
        <v>0</v>
      </c>
      <c r="P190" s="71">
        <f>233*C190/100</f>
        <v>139.8</v>
      </c>
      <c r="Q190" s="55"/>
    </row>
    <row r="191" spans="1:17" ht="16.5" customHeight="1">
      <c r="A191" s="70" t="s">
        <v>17</v>
      </c>
      <c r="B191" s="9">
        <v>35</v>
      </c>
      <c r="C191" s="9">
        <v>35</v>
      </c>
      <c r="D191" s="10">
        <v>35</v>
      </c>
      <c r="E191" s="16">
        <f>6.5*C191/100</f>
        <v>2.275</v>
      </c>
      <c r="F191" s="16">
        <f>1*C191/100</f>
        <v>0.35</v>
      </c>
      <c r="G191" s="16">
        <f>40.1*C191/100</f>
        <v>14.035</v>
      </c>
      <c r="H191" s="16">
        <f>38*C191/100</f>
        <v>13.3</v>
      </c>
      <c r="I191" s="16">
        <f>49*C191/100</f>
        <v>17.15</v>
      </c>
      <c r="J191" s="16">
        <f>156*C191/100</f>
        <v>54.6</v>
      </c>
      <c r="K191" s="16">
        <f>2.6*C191/100</f>
        <v>0.91</v>
      </c>
      <c r="L191" s="16">
        <v>0</v>
      </c>
      <c r="M191" s="16">
        <f>0.18*C191/100</f>
        <v>0.063</v>
      </c>
      <c r="N191" s="16">
        <f>0.11*C191/100</f>
        <v>0.0385</v>
      </c>
      <c r="O191" s="16">
        <v>0</v>
      </c>
      <c r="P191" s="71">
        <f>190*C191/100</f>
        <v>66.5</v>
      </c>
      <c r="Q191" s="55"/>
    </row>
    <row r="192" spans="1:17" s="5" customFormat="1" ht="16.5" customHeight="1">
      <c r="A192" s="181" t="s">
        <v>15</v>
      </c>
      <c r="B192" s="182"/>
      <c r="C192" s="182"/>
      <c r="D192" s="10">
        <v>200</v>
      </c>
      <c r="E192" s="16">
        <f>E193+E194</f>
        <v>0.614</v>
      </c>
      <c r="F192" s="16">
        <f aca="true" t="shared" si="31" ref="F192:P192">F193+F194</f>
        <v>0</v>
      </c>
      <c r="G192" s="16">
        <f t="shared" si="31"/>
        <v>33.384</v>
      </c>
      <c r="H192" s="16">
        <f t="shared" si="31"/>
        <v>20.799999999999997</v>
      </c>
      <c r="I192" s="16">
        <f t="shared" si="31"/>
        <v>16.8</v>
      </c>
      <c r="J192" s="16">
        <f t="shared" si="31"/>
        <v>22.6</v>
      </c>
      <c r="K192" s="16">
        <f t="shared" si="31"/>
        <v>2.2600000000000002</v>
      </c>
      <c r="L192" s="16">
        <f t="shared" si="31"/>
        <v>0.7</v>
      </c>
      <c r="M192" s="16">
        <f t="shared" si="31"/>
        <v>0.014000000000000002</v>
      </c>
      <c r="N192" s="16">
        <f t="shared" si="31"/>
        <v>0</v>
      </c>
      <c r="O192" s="16">
        <f t="shared" si="31"/>
        <v>0.7</v>
      </c>
      <c r="P192" s="71">
        <f t="shared" si="31"/>
        <v>128.4</v>
      </c>
      <c r="Q192" s="57"/>
    </row>
    <row r="193" spans="1:17" ht="16.5" customHeight="1">
      <c r="A193" s="96" t="s">
        <v>54</v>
      </c>
      <c r="B193" s="2">
        <v>20</v>
      </c>
      <c r="C193" s="2">
        <v>20</v>
      </c>
      <c r="D193" s="2"/>
      <c r="E193" s="3">
        <f>3.07*C193/100</f>
        <v>0.614</v>
      </c>
      <c r="F193" s="3"/>
      <c r="G193" s="3">
        <f>67.12*C193/100</f>
        <v>13.424000000000001</v>
      </c>
      <c r="H193" s="3">
        <f>102*C193/100</f>
        <v>20.4</v>
      </c>
      <c r="I193" s="3">
        <f>84*C193/100</f>
        <v>16.8</v>
      </c>
      <c r="J193" s="3">
        <f>113*C193/100</f>
        <v>22.6</v>
      </c>
      <c r="K193" s="3">
        <f>11*C193/100</f>
        <v>2.2</v>
      </c>
      <c r="L193" s="3">
        <f>3.5*C193/100</f>
        <v>0.7</v>
      </c>
      <c r="M193" s="3">
        <f>0.07*C193/100</f>
        <v>0.014000000000000002</v>
      </c>
      <c r="N193" s="3"/>
      <c r="O193" s="3">
        <f>3.5*C193/100</f>
        <v>0.7</v>
      </c>
      <c r="P193" s="76">
        <f>268*C193/100</f>
        <v>53.6</v>
      </c>
      <c r="Q193" s="55"/>
    </row>
    <row r="194" spans="1:17" ht="16.5" customHeight="1">
      <c r="A194" s="96" t="s">
        <v>53</v>
      </c>
      <c r="B194" s="2">
        <v>20</v>
      </c>
      <c r="C194" s="2">
        <v>20</v>
      </c>
      <c r="D194" s="2"/>
      <c r="E194" s="3"/>
      <c r="F194" s="3"/>
      <c r="G194" s="3">
        <f>99.8*C194/100</f>
        <v>19.96</v>
      </c>
      <c r="H194" s="3">
        <f>2*C194/100</f>
        <v>0.4</v>
      </c>
      <c r="I194" s="3"/>
      <c r="J194" s="3"/>
      <c r="K194" s="3">
        <f>0.3*C194/100</f>
        <v>0.06</v>
      </c>
      <c r="L194" s="3"/>
      <c r="M194" s="3"/>
      <c r="N194" s="3"/>
      <c r="O194" s="3"/>
      <c r="P194" s="76">
        <f>374*C194/100</f>
        <v>74.8</v>
      </c>
      <c r="Q194" s="55"/>
    </row>
    <row r="195" spans="1:17" ht="33" customHeight="1">
      <c r="A195" s="77" t="s">
        <v>22</v>
      </c>
      <c r="B195" s="4"/>
      <c r="C195" s="4"/>
      <c r="D195" s="4"/>
      <c r="E195" s="4">
        <f>E174+E183+E190+E191+E192</f>
        <v>40.407000000000004</v>
      </c>
      <c r="F195" s="4">
        <f aca="true" t="shared" si="32" ref="F195:P195">F174+F183+F190+F191+F192</f>
        <v>40.719</v>
      </c>
      <c r="G195" s="4">
        <f t="shared" si="32"/>
        <v>120.401</v>
      </c>
      <c r="H195" s="4">
        <f t="shared" si="32"/>
        <v>108.07</v>
      </c>
      <c r="I195" s="4">
        <f t="shared" si="32"/>
        <v>127.52000000000002</v>
      </c>
      <c r="J195" s="4">
        <f t="shared" si="32"/>
        <v>574.12</v>
      </c>
      <c r="K195" s="4">
        <f t="shared" si="32"/>
        <v>8.718</v>
      </c>
      <c r="L195" s="4">
        <f t="shared" si="32"/>
        <v>1.0838999999999999</v>
      </c>
      <c r="M195" s="4">
        <f t="shared" si="32"/>
        <v>0.4472</v>
      </c>
      <c r="N195" s="4">
        <f t="shared" si="32"/>
        <v>0.35899999999999993</v>
      </c>
      <c r="O195" s="4">
        <f t="shared" si="32"/>
        <v>45.215</v>
      </c>
      <c r="P195" s="78">
        <f t="shared" si="32"/>
        <v>985.5200000000001</v>
      </c>
      <c r="Q195" s="55"/>
    </row>
    <row r="196" spans="1:17" s="169" customFormat="1" ht="37.5" customHeight="1" thickBot="1">
      <c r="A196" s="200" t="s">
        <v>125</v>
      </c>
      <c r="B196" s="201"/>
      <c r="C196" s="202"/>
      <c r="D196" s="79"/>
      <c r="E196" s="79">
        <f aca="true" t="shared" si="33" ref="E196:P196">E169+E195</f>
        <v>55.6955</v>
      </c>
      <c r="F196" s="79">
        <f t="shared" si="33"/>
        <v>60.870000000000005</v>
      </c>
      <c r="G196" s="79">
        <f t="shared" si="33"/>
        <v>185.5555</v>
      </c>
      <c r="H196" s="79">
        <f t="shared" si="33"/>
        <v>250.78499999999997</v>
      </c>
      <c r="I196" s="79">
        <f t="shared" si="33"/>
        <v>195.94000000000003</v>
      </c>
      <c r="J196" s="79">
        <f t="shared" si="33"/>
        <v>803.4200000000001</v>
      </c>
      <c r="K196" s="79">
        <f t="shared" si="33"/>
        <v>13.75</v>
      </c>
      <c r="L196" s="79">
        <f t="shared" si="33"/>
        <v>1.5574999999999999</v>
      </c>
      <c r="M196" s="79">
        <f t="shared" si="33"/>
        <v>0.6644</v>
      </c>
      <c r="N196" s="79">
        <f t="shared" si="33"/>
        <v>0.5145</v>
      </c>
      <c r="O196" s="79">
        <f t="shared" si="33"/>
        <v>151.305</v>
      </c>
      <c r="P196" s="80">
        <f t="shared" si="33"/>
        <v>1475.3850000000002</v>
      </c>
      <c r="Q196" s="168"/>
    </row>
    <row r="197" spans="1:16" s="159" customFormat="1" ht="16.5" customHeight="1">
      <c r="A197" s="170"/>
      <c r="B197" s="170"/>
      <c r="C197" s="170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</row>
    <row r="198" spans="1:16" s="159" customFormat="1" ht="16.5" customHeight="1">
      <c r="A198" s="158" t="s">
        <v>156</v>
      </c>
      <c r="C198" s="170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</row>
    <row r="199" spans="1:16" s="159" customFormat="1" ht="16.5" customHeight="1">
      <c r="A199" s="158" t="s">
        <v>157</v>
      </c>
      <c r="C199" s="170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</row>
    <row r="200" spans="1:16" s="159" customFormat="1" ht="16.5" customHeight="1" thickBot="1">
      <c r="A200" s="180" t="s">
        <v>152</v>
      </c>
      <c r="B200" s="180"/>
      <c r="C200" s="170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</row>
    <row r="201" spans="1:17" s="136" customFormat="1" ht="16.5" customHeight="1">
      <c r="A201" s="65" t="s">
        <v>14</v>
      </c>
      <c r="B201" s="66"/>
      <c r="C201" s="66"/>
      <c r="D201" s="67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9"/>
      <c r="Q201" s="135"/>
    </row>
    <row r="202" spans="1:17" ht="16.5" customHeight="1">
      <c r="A202" s="190" t="s">
        <v>0</v>
      </c>
      <c r="B202" s="185" t="s">
        <v>40</v>
      </c>
      <c r="C202" s="185" t="s">
        <v>41</v>
      </c>
      <c r="D202" s="185" t="s">
        <v>42</v>
      </c>
      <c r="E202" s="189" t="s">
        <v>1</v>
      </c>
      <c r="F202" s="189"/>
      <c r="G202" s="189"/>
      <c r="H202" s="189" t="s">
        <v>3</v>
      </c>
      <c r="I202" s="189"/>
      <c r="J202" s="189"/>
      <c r="K202" s="189"/>
      <c r="L202" s="189" t="s">
        <v>2</v>
      </c>
      <c r="M202" s="189"/>
      <c r="N202" s="189"/>
      <c r="O202" s="189"/>
      <c r="P202" s="191" t="s">
        <v>43</v>
      </c>
      <c r="Q202" s="55"/>
    </row>
    <row r="203" spans="1:17" ht="16.5" customHeight="1">
      <c r="A203" s="190"/>
      <c r="B203" s="185"/>
      <c r="C203" s="185"/>
      <c r="D203" s="185"/>
      <c r="E203" s="189"/>
      <c r="F203" s="189"/>
      <c r="G203" s="189"/>
      <c r="H203" s="189" t="s">
        <v>4</v>
      </c>
      <c r="I203" s="189"/>
      <c r="J203" s="189"/>
      <c r="K203" s="189"/>
      <c r="L203" s="189"/>
      <c r="M203" s="189"/>
      <c r="N203" s="189"/>
      <c r="O203" s="189"/>
      <c r="P203" s="191"/>
      <c r="Q203" s="55"/>
    </row>
    <row r="204" spans="1:17" ht="16.5" customHeight="1">
      <c r="A204" s="190"/>
      <c r="B204" s="185"/>
      <c r="C204" s="185"/>
      <c r="D204" s="185"/>
      <c r="E204" s="18" t="s">
        <v>5</v>
      </c>
      <c r="F204" s="18" t="s">
        <v>6</v>
      </c>
      <c r="G204" s="18" t="s">
        <v>7</v>
      </c>
      <c r="H204" s="18" t="s">
        <v>10</v>
      </c>
      <c r="I204" s="18" t="s">
        <v>12</v>
      </c>
      <c r="J204" s="18" t="s">
        <v>11</v>
      </c>
      <c r="K204" s="18" t="s">
        <v>13</v>
      </c>
      <c r="L204" s="18" t="s">
        <v>9</v>
      </c>
      <c r="M204" s="18" t="s">
        <v>51</v>
      </c>
      <c r="N204" s="18" t="s">
        <v>52</v>
      </c>
      <c r="O204" s="18" t="s">
        <v>8</v>
      </c>
      <c r="P204" s="191"/>
      <c r="Q204" s="55"/>
    </row>
    <row r="205" spans="1:17" ht="16.5" customHeight="1">
      <c r="A205" s="181" t="s">
        <v>134</v>
      </c>
      <c r="B205" s="182"/>
      <c r="C205" s="182"/>
      <c r="D205" s="10">
        <v>200</v>
      </c>
      <c r="E205" s="16">
        <f>E206+E207+E208</f>
        <v>17.115</v>
      </c>
      <c r="F205" s="16">
        <f aca="true" t="shared" si="34" ref="F205:P205">F206+F207+F208</f>
        <v>19.275</v>
      </c>
      <c r="G205" s="16">
        <f t="shared" si="34"/>
        <v>37.145</v>
      </c>
      <c r="H205" s="16">
        <f t="shared" si="34"/>
        <v>513.2</v>
      </c>
      <c r="I205" s="16">
        <f t="shared" si="34"/>
        <v>46.15</v>
      </c>
      <c r="J205" s="16">
        <f t="shared" si="34"/>
        <v>331</v>
      </c>
      <c r="K205" s="16">
        <f t="shared" si="34"/>
        <v>1.36</v>
      </c>
      <c r="L205" s="16">
        <f t="shared" si="34"/>
        <v>0.15</v>
      </c>
      <c r="M205" s="16">
        <f t="shared" si="34"/>
        <v>0.145</v>
      </c>
      <c r="N205" s="16">
        <f t="shared" si="34"/>
        <v>0.21</v>
      </c>
      <c r="O205" s="16">
        <f t="shared" si="34"/>
        <v>0.8</v>
      </c>
      <c r="P205" s="71">
        <f t="shared" si="34"/>
        <v>385.05</v>
      </c>
      <c r="Q205" s="55"/>
    </row>
    <row r="206" spans="1:17" ht="16.5" customHeight="1">
      <c r="A206" s="72" t="s">
        <v>70</v>
      </c>
      <c r="B206" s="20">
        <v>50</v>
      </c>
      <c r="C206" s="20">
        <v>50</v>
      </c>
      <c r="D206" s="20"/>
      <c r="E206" s="23">
        <f>10.7*C206/100</f>
        <v>5.35</v>
      </c>
      <c r="F206" s="23">
        <f>1.3*C206/100</f>
        <v>0.65</v>
      </c>
      <c r="G206" s="23">
        <f>74.2*C206/100</f>
        <v>37.1</v>
      </c>
      <c r="H206" s="23">
        <f>24*C206/100</f>
        <v>12</v>
      </c>
      <c r="I206" s="23">
        <f>45*C206/100</f>
        <v>22.5</v>
      </c>
      <c r="J206" s="23">
        <f>116*C206/100</f>
        <v>58</v>
      </c>
      <c r="K206" s="23">
        <f>2.1*C206/100</f>
        <v>1.05</v>
      </c>
      <c r="L206" s="23"/>
      <c r="M206" s="23">
        <f>0.25*C206/100</f>
        <v>0.125</v>
      </c>
      <c r="N206" s="23">
        <f>0.12*C206/100</f>
        <v>0.06</v>
      </c>
      <c r="O206" s="23"/>
      <c r="P206" s="74">
        <f>333*C206/100</f>
        <v>166.5</v>
      </c>
      <c r="Q206" s="55"/>
    </row>
    <row r="207" spans="1:17" ht="16.5" customHeight="1">
      <c r="A207" s="72" t="s">
        <v>63</v>
      </c>
      <c r="B207" s="20">
        <v>5</v>
      </c>
      <c r="C207" s="20">
        <v>5</v>
      </c>
      <c r="D207" s="20"/>
      <c r="E207" s="3">
        <f>1.3*C207/100</f>
        <v>0.065</v>
      </c>
      <c r="F207" s="3">
        <f>72.5*C207/100</f>
        <v>3.625</v>
      </c>
      <c r="G207" s="3">
        <f>0.9*C207/100</f>
        <v>0.045</v>
      </c>
      <c r="H207" s="3">
        <f>24*C207/100</f>
        <v>1.2</v>
      </c>
      <c r="I207" s="3">
        <f>3*C207/100</f>
        <v>0.15</v>
      </c>
      <c r="J207" s="3">
        <f>20*C207/100</f>
        <v>1</v>
      </c>
      <c r="K207" s="3">
        <f>0.2*C207/100</f>
        <v>0.01</v>
      </c>
      <c r="L207" s="3">
        <f>0.4*C207/100</f>
        <v>0.02</v>
      </c>
      <c r="M207" s="3"/>
      <c r="N207" s="3"/>
      <c r="O207" s="3"/>
      <c r="P207" s="76">
        <f>661*C207/100</f>
        <v>33.05</v>
      </c>
      <c r="Q207" s="55"/>
    </row>
    <row r="208" spans="1:17" ht="16.5" customHeight="1">
      <c r="A208" s="72" t="s">
        <v>135</v>
      </c>
      <c r="B208" s="20">
        <v>51</v>
      </c>
      <c r="C208" s="20">
        <v>50</v>
      </c>
      <c r="D208" s="20"/>
      <c r="E208" s="23">
        <f>23.4*C208/100</f>
        <v>11.7</v>
      </c>
      <c r="F208" s="23">
        <f>30*C208/100</f>
        <v>15</v>
      </c>
      <c r="G208" s="23"/>
      <c r="H208" s="23">
        <f>1000*C208/100</f>
        <v>500</v>
      </c>
      <c r="I208" s="23">
        <f>47*C208/100</f>
        <v>23.5</v>
      </c>
      <c r="J208" s="23">
        <f>544*C208/100</f>
        <v>272</v>
      </c>
      <c r="K208" s="23">
        <f>0.6*C208/100</f>
        <v>0.3</v>
      </c>
      <c r="L208" s="23">
        <f>0.26*C208/100</f>
        <v>0.13</v>
      </c>
      <c r="M208" s="23">
        <f>0.04*C208/100</f>
        <v>0.02</v>
      </c>
      <c r="N208" s="23">
        <f>0.3*C208/100</f>
        <v>0.15</v>
      </c>
      <c r="O208" s="23">
        <f>1.6*C208/100</f>
        <v>0.8</v>
      </c>
      <c r="P208" s="74">
        <f>371*C208/100</f>
        <v>185.5</v>
      </c>
      <c r="Q208" s="55"/>
    </row>
    <row r="209" spans="1:17" s="11" customFormat="1" ht="16.5" customHeight="1">
      <c r="A209" s="70" t="s">
        <v>127</v>
      </c>
      <c r="B209" s="20">
        <v>55</v>
      </c>
      <c r="C209" s="20">
        <v>50</v>
      </c>
      <c r="D209" s="10">
        <v>50</v>
      </c>
      <c r="E209" s="16">
        <f>0.7*C209/100</f>
        <v>0.35</v>
      </c>
      <c r="F209" s="16"/>
      <c r="G209" s="16">
        <f>1.8*C209/100</f>
        <v>0.9</v>
      </c>
      <c r="H209" s="16">
        <f>17*C209/100</f>
        <v>8.5</v>
      </c>
      <c r="I209" s="16"/>
      <c r="J209" s="16">
        <f>42*C209/100</f>
        <v>21</v>
      </c>
      <c r="K209" s="16">
        <f>0.5*C209/100</f>
        <v>0.25</v>
      </c>
      <c r="L209" s="16">
        <f>0.02*C209/100</f>
        <v>0.01</v>
      </c>
      <c r="M209" s="16">
        <f>0.03*C209/100</f>
        <v>0.015</v>
      </c>
      <c r="N209" s="16">
        <f>0.02*C209/100</f>
        <v>0.01</v>
      </c>
      <c r="O209" s="16">
        <f>7*C209/100</f>
        <v>3.5</v>
      </c>
      <c r="P209" s="71">
        <f>10*C209/100</f>
        <v>5</v>
      </c>
      <c r="Q209" s="56"/>
    </row>
    <row r="210" spans="1:17" ht="16.5" customHeight="1">
      <c r="A210" s="70" t="s">
        <v>16</v>
      </c>
      <c r="B210" s="20">
        <v>40</v>
      </c>
      <c r="C210" s="20">
        <v>40</v>
      </c>
      <c r="D210" s="10">
        <v>40</v>
      </c>
      <c r="E210" s="16">
        <f>7.6*C210/100</f>
        <v>3.04</v>
      </c>
      <c r="F210" s="16">
        <f>0.6*C210/100</f>
        <v>0.24</v>
      </c>
      <c r="G210" s="16">
        <f>52.3*C210/100</f>
        <v>20.92</v>
      </c>
      <c r="H210" s="16">
        <f>20*C210/100</f>
        <v>8</v>
      </c>
      <c r="I210" s="16">
        <f>14*C210/100</f>
        <v>5.6</v>
      </c>
      <c r="J210" s="16">
        <f>65*C210/100</f>
        <v>26</v>
      </c>
      <c r="K210" s="16">
        <f>0.9*C210/100</f>
        <v>0.36</v>
      </c>
      <c r="L210" s="16">
        <v>0</v>
      </c>
      <c r="M210" s="16">
        <f>0.11*C210/100</f>
        <v>0.044000000000000004</v>
      </c>
      <c r="N210" s="16">
        <f>0.06*C210/100</f>
        <v>0.024</v>
      </c>
      <c r="O210" s="16">
        <v>0</v>
      </c>
      <c r="P210" s="71">
        <f>233*C210/100</f>
        <v>93.2</v>
      </c>
      <c r="Q210" s="55"/>
    </row>
    <row r="211" spans="1:17" ht="16.5" customHeight="1">
      <c r="A211" s="70" t="s">
        <v>17</v>
      </c>
      <c r="B211" s="20">
        <v>25</v>
      </c>
      <c r="C211" s="20">
        <v>25</v>
      </c>
      <c r="D211" s="10">
        <v>25</v>
      </c>
      <c r="E211" s="16">
        <f>6.5*C211/100</f>
        <v>1.625</v>
      </c>
      <c r="F211" s="16">
        <f>1*C211/100</f>
        <v>0.25</v>
      </c>
      <c r="G211" s="16">
        <f>40.1*C211/100</f>
        <v>10.025</v>
      </c>
      <c r="H211" s="16">
        <f>38*C211/100</f>
        <v>9.5</v>
      </c>
      <c r="I211" s="16">
        <f>49*C211/100</f>
        <v>12.25</v>
      </c>
      <c r="J211" s="16">
        <f>156*C211/100</f>
        <v>39</v>
      </c>
      <c r="K211" s="16">
        <f>2.6*C211/100</f>
        <v>0.65</v>
      </c>
      <c r="L211" s="16">
        <v>0</v>
      </c>
      <c r="M211" s="16">
        <f>0.18*C211/100</f>
        <v>0.045</v>
      </c>
      <c r="N211" s="16">
        <f>0.11*C211/100</f>
        <v>0.0275</v>
      </c>
      <c r="O211" s="16">
        <v>0</v>
      </c>
      <c r="P211" s="71">
        <f>190*C211/100</f>
        <v>47.5</v>
      </c>
      <c r="Q211" s="55"/>
    </row>
    <row r="212" spans="1:17" ht="16.5" customHeight="1">
      <c r="A212" s="103" t="s">
        <v>66</v>
      </c>
      <c r="B212" s="2">
        <v>200</v>
      </c>
      <c r="C212" s="2">
        <v>200</v>
      </c>
      <c r="D212" s="8">
        <v>200</v>
      </c>
      <c r="E212" s="30">
        <f>0.5*C212/100</f>
        <v>1</v>
      </c>
      <c r="F212" s="30"/>
      <c r="G212" s="30">
        <f>11.7*C212/100</f>
        <v>23.4</v>
      </c>
      <c r="H212" s="30">
        <f>8*C212/100</f>
        <v>16</v>
      </c>
      <c r="I212" s="30">
        <f>5*C212/100</f>
        <v>10</v>
      </c>
      <c r="J212" s="30">
        <f>9*C212/100</f>
        <v>18</v>
      </c>
      <c r="K212" s="30">
        <f>0.2*C212/100</f>
        <v>0.4</v>
      </c>
      <c r="L212" s="30"/>
      <c r="M212" s="30"/>
      <c r="N212" s="30"/>
      <c r="O212" s="30">
        <f>2*C212/100</f>
        <v>4</v>
      </c>
      <c r="P212" s="104">
        <f>47*C212/100</f>
        <v>94</v>
      </c>
      <c r="Q212" s="55"/>
    </row>
    <row r="213" spans="1:17" s="5" customFormat="1" ht="33" customHeight="1" thickBot="1">
      <c r="A213" s="89" t="s">
        <v>18</v>
      </c>
      <c r="B213" s="90"/>
      <c r="C213" s="90"/>
      <c r="D213" s="90"/>
      <c r="E213" s="90">
        <f>E205+E209+E210+E211+E212</f>
        <v>23.13</v>
      </c>
      <c r="F213" s="90">
        <f aca="true" t="shared" si="35" ref="F213:P213">F205+F209+F210+F211+F212</f>
        <v>19.764999999999997</v>
      </c>
      <c r="G213" s="90">
        <f t="shared" si="35"/>
        <v>92.39000000000001</v>
      </c>
      <c r="H213" s="90">
        <f t="shared" si="35"/>
        <v>555.2</v>
      </c>
      <c r="I213" s="90">
        <f t="shared" si="35"/>
        <v>74</v>
      </c>
      <c r="J213" s="90">
        <f t="shared" si="35"/>
        <v>435</v>
      </c>
      <c r="K213" s="90">
        <f t="shared" si="35"/>
        <v>3.02</v>
      </c>
      <c r="L213" s="90">
        <f t="shared" si="35"/>
        <v>0.16</v>
      </c>
      <c r="M213" s="90">
        <f t="shared" si="35"/>
        <v>0.249</v>
      </c>
      <c r="N213" s="90">
        <f t="shared" si="35"/>
        <v>0.2715</v>
      </c>
      <c r="O213" s="90">
        <f t="shared" si="35"/>
        <v>8.3</v>
      </c>
      <c r="P213" s="91">
        <f t="shared" si="35"/>
        <v>624.75</v>
      </c>
      <c r="Q213" s="57"/>
    </row>
    <row r="214" spans="1:17" ht="16.5" customHeight="1">
      <c r="A214" s="65" t="s">
        <v>19</v>
      </c>
      <c r="B214" s="66"/>
      <c r="C214" s="66"/>
      <c r="D214" s="67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9"/>
      <c r="Q214" s="55"/>
    </row>
    <row r="215" spans="1:17" ht="16.5" customHeight="1">
      <c r="A215" s="190" t="s">
        <v>0</v>
      </c>
      <c r="B215" s="185" t="s">
        <v>40</v>
      </c>
      <c r="C215" s="185" t="s">
        <v>41</v>
      </c>
      <c r="D215" s="185" t="s">
        <v>42</v>
      </c>
      <c r="E215" s="189" t="s">
        <v>1</v>
      </c>
      <c r="F215" s="189"/>
      <c r="G215" s="189"/>
      <c r="H215" s="189" t="s">
        <v>3</v>
      </c>
      <c r="I215" s="189"/>
      <c r="J215" s="189"/>
      <c r="K215" s="189"/>
      <c r="L215" s="189" t="s">
        <v>2</v>
      </c>
      <c r="M215" s="189"/>
      <c r="N215" s="189"/>
      <c r="O215" s="189"/>
      <c r="P215" s="191" t="s">
        <v>43</v>
      </c>
      <c r="Q215" s="55"/>
    </row>
    <row r="216" spans="1:17" ht="16.5" customHeight="1">
      <c r="A216" s="190"/>
      <c r="B216" s="185"/>
      <c r="C216" s="185"/>
      <c r="D216" s="185"/>
      <c r="E216" s="189"/>
      <c r="F216" s="189"/>
      <c r="G216" s="189"/>
      <c r="H216" s="189" t="s">
        <v>4</v>
      </c>
      <c r="I216" s="189"/>
      <c r="J216" s="189"/>
      <c r="K216" s="189"/>
      <c r="L216" s="189"/>
      <c r="M216" s="189"/>
      <c r="N216" s="189"/>
      <c r="O216" s="189"/>
      <c r="P216" s="191"/>
      <c r="Q216" s="55"/>
    </row>
    <row r="217" spans="1:17" ht="16.5" customHeight="1">
      <c r="A217" s="190"/>
      <c r="B217" s="185"/>
      <c r="C217" s="185"/>
      <c r="D217" s="185"/>
      <c r="E217" s="18" t="s">
        <v>5</v>
      </c>
      <c r="F217" s="18" t="s">
        <v>6</v>
      </c>
      <c r="G217" s="18" t="s">
        <v>7</v>
      </c>
      <c r="H217" s="18" t="s">
        <v>10</v>
      </c>
      <c r="I217" s="18" t="s">
        <v>12</v>
      </c>
      <c r="J217" s="18" t="s">
        <v>11</v>
      </c>
      <c r="K217" s="18" t="s">
        <v>13</v>
      </c>
      <c r="L217" s="18" t="s">
        <v>9</v>
      </c>
      <c r="M217" s="18" t="s">
        <v>51</v>
      </c>
      <c r="N217" s="18" t="s">
        <v>52</v>
      </c>
      <c r="O217" s="18" t="s">
        <v>8</v>
      </c>
      <c r="P217" s="191"/>
      <c r="Q217" s="55"/>
    </row>
    <row r="218" spans="1:17" ht="16.5" customHeight="1">
      <c r="A218" s="186" t="s">
        <v>56</v>
      </c>
      <c r="B218" s="187"/>
      <c r="C218" s="188"/>
      <c r="D218" s="10">
        <v>250</v>
      </c>
      <c r="E218" s="16">
        <f>E219+E220+E221+E222+E223+E224+E225+E226+E227</f>
        <v>2.425</v>
      </c>
      <c r="F218" s="16">
        <f aca="true" t="shared" si="36" ref="F218:P218">F219+F220+F221+F222+F223+F224+F225+F226+F227</f>
        <v>7.019</v>
      </c>
      <c r="G218" s="16">
        <f t="shared" si="36"/>
        <v>15.346000000000002</v>
      </c>
      <c r="H218" s="16">
        <f t="shared" si="36"/>
        <v>47.309999999999995</v>
      </c>
      <c r="I218" s="16">
        <f t="shared" si="36"/>
        <v>33.919999999999995</v>
      </c>
      <c r="J218" s="16">
        <f t="shared" si="36"/>
        <v>62.029999999999994</v>
      </c>
      <c r="K218" s="16">
        <f t="shared" si="36"/>
        <v>1.406</v>
      </c>
      <c r="L218" s="16">
        <f t="shared" si="36"/>
        <v>1.3197999999999996</v>
      </c>
      <c r="M218" s="16">
        <f t="shared" si="36"/>
        <v>0.0408</v>
      </c>
      <c r="N218" s="16">
        <f t="shared" si="36"/>
        <v>0.033</v>
      </c>
      <c r="O218" s="16">
        <f t="shared" si="36"/>
        <v>22.5</v>
      </c>
      <c r="P218" s="71">
        <f t="shared" si="36"/>
        <v>131.71</v>
      </c>
      <c r="Q218" s="55"/>
    </row>
    <row r="219" spans="1:17" ht="16.5" customHeight="1">
      <c r="A219" s="72" t="s">
        <v>49</v>
      </c>
      <c r="B219" s="20">
        <v>33</v>
      </c>
      <c r="C219" s="20">
        <v>24</v>
      </c>
      <c r="D219" s="20"/>
      <c r="E219" s="21">
        <f>2*C219/100</f>
        <v>0.48</v>
      </c>
      <c r="F219" s="21">
        <f>0.1*C219/100</f>
        <v>0.024000000000000004</v>
      </c>
      <c r="G219" s="21">
        <f>19.7*C219/100</f>
        <v>4.728</v>
      </c>
      <c r="H219" s="21">
        <f>10*C219/100</f>
        <v>2.4</v>
      </c>
      <c r="I219" s="21">
        <f>23*C219/100</f>
        <v>5.52</v>
      </c>
      <c r="J219" s="21">
        <f>58*C219/100</f>
        <v>13.92</v>
      </c>
      <c r="K219" s="21">
        <f>0.9*C219/100</f>
        <v>0.21600000000000003</v>
      </c>
      <c r="L219" s="21">
        <f>0.02*C219/100</f>
        <v>0.0048</v>
      </c>
      <c r="M219" s="21">
        <f>0.12*C219/100</f>
        <v>0.0288</v>
      </c>
      <c r="N219" s="21">
        <f>0.05*C219/100</f>
        <v>0.012000000000000002</v>
      </c>
      <c r="O219" s="21">
        <f>20*C219/100</f>
        <v>4.8</v>
      </c>
      <c r="P219" s="73">
        <f>83*C219/100</f>
        <v>19.92</v>
      </c>
      <c r="Q219" s="55"/>
    </row>
    <row r="220" spans="1:17" ht="16.5" customHeight="1">
      <c r="A220" s="72" t="s">
        <v>57</v>
      </c>
      <c r="B220" s="20">
        <v>25</v>
      </c>
      <c r="C220" s="20">
        <v>20</v>
      </c>
      <c r="D220" s="20"/>
      <c r="E220" s="24">
        <f>1.8*C220/100</f>
        <v>0.36</v>
      </c>
      <c r="F220" s="24"/>
      <c r="G220" s="24">
        <f>5.4*C220/100</f>
        <v>1.08</v>
      </c>
      <c r="H220" s="24">
        <f>48*C220/100</f>
        <v>9.6</v>
      </c>
      <c r="I220" s="24">
        <f>16*C220/100</f>
        <v>3.2</v>
      </c>
      <c r="J220" s="24">
        <f>31*C220/100</f>
        <v>6.2</v>
      </c>
      <c r="K220" s="24">
        <f>1*C220/100</f>
        <v>0.2</v>
      </c>
      <c r="L220" s="24">
        <f>0.02*C220/100</f>
        <v>0.004</v>
      </c>
      <c r="M220" s="24">
        <f>0.06*C220/100</f>
        <v>0.012</v>
      </c>
      <c r="N220" s="24">
        <f>0.05*C220/100</f>
        <v>0.01</v>
      </c>
      <c r="O220" s="24">
        <f>50*C220/100</f>
        <v>10</v>
      </c>
      <c r="P220" s="75">
        <f>28*C220/100</f>
        <v>5.6</v>
      </c>
      <c r="Q220" s="55"/>
    </row>
    <row r="221" spans="1:17" ht="16.5" customHeight="1">
      <c r="A221" s="72" t="s">
        <v>46</v>
      </c>
      <c r="B221" s="20">
        <v>12</v>
      </c>
      <c r="C221" s="20">
        <v>10</v>
      </c>
      <c r="D221" s="20"/>
      <c r="E221" s="23">
        <f>1.7*C221/100</f>
        <v>0.17</v>
      </c>
      <c r="F221" s="23">
        <v>0</v>
      </c>
      <c r="G221" s="23">
        <f>9.5*C221/100</f>
        <v>0.95</v>
      </c>
      <c r="H221" s="23">
        <f>31*C221/100</f>
        <v>3.1</v>
      </c>
      <c r="I221" s="23">
        <f>14*C221/100</f>
        <v>1.4</v>
      </c>
      <c r="J221" s="23">
        <f>58*C221/100</f>
        <v>5.8</v>
      </c>
      <c r="K221" s="23">
        <f>0.8*C221/100</f>
        <v>0.08</v>
      </c>
      <c r="L221" s="23">
        <v>0</v>
      </c>
      <c r="M221" s="23">
        <v>0</v>
      </c>
      <c r="N221" s="23">
        <v>0</v>
      </c>
      <c r="O221" s="23">
        <f>10*C221/100</f>
        <v>1</v>
      </c>
      <c r="P221" s="74">
        <f>43*C221/100</f>
        <v>4.3</v>
      </c>
      <c r="Q221" s="55"/>
    </row>
    <row r="222" spans="1:17" ht="16.5" customHeight="1">
      <c r="A222" s="72" t="s">
        <v>47</v>
      </c>
      <c r="B222" s="20">
        <v>16</v>
      </c>
      <c r="C222" s="20">
        <v>13</v>
      </c>
      <c r="D222" s="20"/>
      <c r="E222" s="24">
        <f>1.3*C222/100</f>
        <v>0.169</v>
      </c>
      <c r="F222" s="24"/>
      <c r="G222" s="24">
        <f>7*C222/100</f>
        <v>0.91</v>
      </c>
      <c r="H222" s="24">
        <f>51*C222/100</f>
        <v>6.63</v>
      </c>
      <c r="I222" s="24">
        <f>38*C222/100</f>
        <v>4.94</v>
      </c>
      <c r="J222" s="24">
        <f>55*C222/100</f>
        <v>7.15</v>
      </c>
      <c r="K222" s="24">
        <f>1.2*C222/100</f>
        <v>0.156</v>
      </c>
      <c r="L222" s="24">
        <f>9*C222/100</f>
        <v>1.17</v>
      </c>
      <c r="M222" s="24">
        <v>0</v>
      </c>
      <c r="N222" s="24">
        <v>0</v>
      </c>
      <c r="O222" s="24">
        <f>5*C222/100</f>
        <v>0.65</v>
      </c>
      <c r="P222" s="75">
        <f>33*C222/100</f>
        <v>4.29</v>
      </c>
      <c r="Q222" s="55"/>
    </row>
    <row r="223" spans="1:17" ht="16.5" customHeight="1">
      <c r="A223" s="72" t="s">
        <v>58</v>
      </c>
      <c r="B223" s="20">
        <v>53</v>
      </c>
      <c r="C223" s="20">
        <v>42</v>
      </c>
      <c r="D223" s="20"/>
      <c r="E223" s="26">
        <f>1.7*C223/100</f>
        <v>0.714</v>
      </c>
      <c r="F223" s="26"/>
      <c r="G223" s="26">
        <f>10.8*C223/100</f>
        <v>4.5360000000000005</v>
      </c>
      <c r="H223" s="26">
        <f>37*C223/100</f>
        <v>15.54</v>
      </c>
      <c r="I223" s="26">
        <f>43*C223/100</f>
        <v>18.06</v>
      </c>
      <c r="J223" s="26">
        <f>43*C223/100</f>
        <v>18.06</v>
      </c>
      <c r="K223" s="26">
        <f>1.4*C223/100</f>
        <v>0.588</v>
      </c>
      <c r="L223" s="26"/>
      <c r="M223" s="26"/>
      <c r="N223" s="26"/>
      <c r="O223" s="26">
        <f>10*C223/100</f>
        <v>4.2</v>
      </c>
      <c r="P223" s="102">
        <f>48*C223/100</f>
        <v>20.16</v>
      </c>
      <c r="Q223" s="55"/>
    </row>
    <row r="224" spans="1:17" ht="16.5" customHeight="1">
      <c r="A224" s="72" t="s">
        <v>59</v>
      </c>
      <c r="B224" s="20">
        <v>5</v>
      </c>
      <c r="C224" s="20">
        <v>5</v>
      </c>
      <c r="D224" s="20"/>
      <c r="E224" s="23"/>
      <c r="F224" s="3">
        <f>99.9*C224/100</f>
        <v>4.995</v>
      </c>
      <c r="G224" s="3"/>
      <c r="H224" s="3"/>
      <c r="I224" s="3"/>
      <c r="J224" s="3"/>
      <c r="K224" s="3"/>
      <c r="L224" s="3"/>
      <c r="M224" s="3"/>
      <c r="N224" s="3"/>
      <c r="O224" s="3"/>
      <c r="P224" s="76">
        <f>899*C224/100</f>
        <v>44.95</v>
      </c>
      <c r="Q224" s="55"/>
    </row>
    <row r="225" spans="1:17" ht="16.5" customHeight="1">
      <c r="A225" s="72" t="s">
        <v>60</v>
      </c>
      <c r="B225" s="20">
        <v>7</v>
      </c>
      <c r="C225" s="20">
        <v>7</v>
      </c>
      <c r="D225" s="20"/>
      <c r="E225" s="21">
        <f>3.6*C225/100</f>
        <v>0.252</v>
      </c>
      <c r="F225" s="21"/>
      <c r="G225" s="21">
        <f>11.8*C225/100</f>
        <v>0.8260000000000001</v>
      </c>
      <c r="H225" s="21">
        <f>20*C225/100</f>
        <v>1.4</v>
      </c>
      <c r="I225" s="21"/>
      <c r="J225" s="21">
        <f>70*C225/100</f>
        <v>4.9</v>
      </c>
      <c r="K225" s="21">
        <f>2*C225/100</f>
        <v>0.14</v>
      </c>
      <c r="L225" s="21">
        <f>1.8*C225/100</f>
        <v>0.126</v>
      </c>
      <c r="M225" s="21"/>
      <c r="N225" s="21"/>
      <c r="O225" s="21">
        <f>26*C225/100</f>
        <v>1.82</v>
      </c>
      <c r="P225" s="73">
        <f>63*C225/100</f>
        <v>4.41</v>
      </c>
      <c r="Q225" s="55"/>
    </row>
    <row r="226" spans="1:17" ht="16.5" customHeight="1">
      <c r="A226" s="72" t="s">
        <v>61</v>
      </c>
      <c r="B226" s="20">
        <v>10</v>
      </c>
      <c r="C226" s="20">
        <v>10</v>
      </c>
      <c r="D226" s="20"/>
      <c r="E226" s="3">
        <f>2.8*C226/100</f>
        <v>0.28</v>
      </c>
      <c r="F226" s="3">
        <f>20*C226/100</f>
        <v>2</v>
      </c>
      <c r="G226" s="3">
        <f>3.2*C226/100</f>
        <v>0.32</v>
      </c>
      <c r="H226" s="3">
        <f>86*C226/100</f>
        <v>8.6</v>
      </c>
      <c r="I226" s="3">
        <f>8*C226/100</f>
        <v>0.8</v>
      </c>
      <c r="J226" s="3">
        <f>60*C226/100</f>
        <v>6</v>
      </c>
      <c r="K226" s="3">
        <f>0.2*C226/100</f>
        <v>0.02</v>
      </c>
      <c r="L226" s="3">
        <f>0.15*C226/100</f>
        <v>0.015</v>
      </c>
      <c r="M226" s="3"/>
      <c r="N226" s="3">
        <f>0.11*C226/100</f>
        <v>0.011000000000000001</v>
      </c>
      <c r="O226" s="3">
        <f>0.3*C226/100</f>
        <v>0.03</v>
      </c>
      <c r="P226" s="76">
        <f>206*C226/100</f>
        <v>20.6</v>
      </c>
      <c r="Q226" s="55"/>
    </row>
    <row r="227" spans="1:17" ht="16.5" customHeight="1">
      <c r="A227" s="72" t="s">
        <v>53</v>
      </c>
      <c r="B227" s="20">
        <v>2</v>
      </c>
      <c r="C227" s="20">
        <v>2</v>
      </c>
      <c r="D227" s="20"/>
      <c r="E227" s="23"/>
      <c r="F227" s="23"/>
      <c r="G227" s="3">
        <f>99.8*C227/100</f>
        <v>1.996</v>
      </c>
      <c r="H227" s="3">
        <f>2*C227/100</f>
        <v>0.04</v>
      </c>
      <c r="I227" s="3"/>
      <c r="J227" s="3"/>
      <c r="K227" s="3">
        <f>0.3*C227/100</f>
        <v>0.006</v>
      </c>
      <c r="L227" s="3"/>
      <c r="M227" s="3"/>
      <c r="N227" s="3"/>
      <c r="O227" s="3"/>
      <c r="P227" s="76">
        <f>374*C227/100</f>
        <v>7.48</v>
      </c>
      <c r="Q227" s="55"/>
    </row>
    <row r="228" spans="1:17" ht="16.5" customHeight="1">
      <c r="A228" s="186" t="s">
        <v>21</v>
      </c>
      <c r="B228" s="187"/>
      <c r="C228" s="188"/>
      <c r="D228" s="10">
        <v>100</v>
      </c>
      <c r="E228" s="16">
        <f>E229+E230+E231+E232+E233+E234</f>
        <v>18.895</v>
      </c>
      <c r="F228" s="16">
        <f aca="true" t="shared" si="37" ref="F228:P228">F229+F230+F231+F232+F233+F234</f>
        <v>17.199</v>
      </c>
      <c r="G228" s="16">
        <f t="shared" si="37"/>
        <v>16.155</v>
      </c>
      <c r="H228" s="16">
        <f t="shared" si="37"/>
        <v>8.72</v>
      </c>
      <c r="I228" s="16">
        <f t="shared" si="37"/>
        <v>5.07</v>
      </c>
      <c r="J228" s="16">
        <f t="shared" si="37"/>
        <v>24.22</v>
      </c>
      <c r="K228" s="16">
        <f t="shared" si="37"/>
        <v>0.332</v>
      </c>
      <c r="L228" s="16">
        <f t="shared" si="37"/>
        <v>0.02</v>
      </c>
      <c r="M228" s="16">
        <f t="shared" si="37"/>
        <v>0.0334</v>
      </c>
      <c r="N228" s="16">
        <f t="shared" si="37"/>
        <v>0.0108</v>
      </c>
      <c r="O228" s="16">
        <f t="shared" si="37"/>
        <v>0.8</v>
      </c>
      <c r="P228" s="71">
        <f t="shared" si="37"/>
        <v>292.46999999999997</v>
      </c>
      <c r="Q228" s="55"/>
    </row>
    <row r="229" spans="1:17" ht="16.5" customHeight="1">
      <c r="A229" s="72" t="s">
        <v>85</v>
      </c>
      <c r="B229" s="20">
        <v>74</v>
      </c>
      <c r="C229" s="20">
        <v>74</v>
      </c>
      <c r="D229" s="20"/>
      <c r="E229" s="23">
        <f>22.3*C229/100</f>
        <v>16.502</v>
      </c>
      <c r="F229" s="23">
        <f>10*C229/100</f>
        <v>7.4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74">
        <f>181*C229/100</f>
        <v>133.94</v>
      </c>
      <c r="Q229" s="55"/>
    </row>
    <row r="230" spans="1:17" ht="16.5" customHeight="1">
      <c r="A230" s="72" t="s">
        <v>64</v>
      </c>
      <c r="B230" s="20">
        <v>8</v>
      </c>
      <c r="C230" s="20">
        <v>8</v>
      </c>
      <c r="D230" s="20"/>
      <c r="E230" s="3">
        <f>10.3*C230/100</f>
        <v>0.8240000000000001</v>
      </c>
      <c r="F230" s="3">
        <f>0.9*C230/100</f>
        <v>0.07200000000000001</v>
      </c>
      <c r="G230" s="3">
        <f>74.2*C230/100</f>
        <v>5.936</v>
      </c>
      <c r="H230" s="3">
        <f>18*C230/100</f>
        <v>1.44</v>
      </c>
      <c r="I230" s="3">
        <f>16*C230/100</f>
        <v>1.28</v>
      </c>
      <c r="J230" s="3">
        <f>86*C230/100</f>
        <v>6.88</v>
      </c>
      <c r="K230" s="3">
        <f>1.2*C230/100</f>
        <v>0.096</v>
      </c>
      <c r="L230" s="3"/>
      <c r="M230" s="3">
        <f>0.17*C230/100</f>
        <v>0.013600000000000001</v>
      </c>
      <c r="N230" s="3"/>
      <c r="O230" s="3"/>
      <c r="P230" s="76">
        <f>327*C230/100</f>
        <v>26.16</v>
      </c>
      <c r="Q230" s="55"/>
    </row>
    <row r="231" spans="1:17" ht="16.5" customHeight="1">
      <c r="A231" s="96" t="s">
        <v>63</v>
      </c>
      <c r="B231" s="20">
        <v>5</v>
      </c>
      <c r="C231" s="20">
        <v>5</v>
      </c>
      <c r="D231" s="20"/>
      <c r="E231" s="3">
        <f>1.3*C231/100</f>
        <v>0.065</v>
      </c>
      <c r="F231" s="3">
        <f>72.5*C231/100</f>
        <v>3.625</v>
      </c>
      <c r="G231" s="3">
        <f>0.9*C231/100</f>
        <v>0.045</v>
      </c>
      <c r="H231" s="3">
        <f>24*C231/100</f>
        <v>1.2</v>
      </c>
      <c r="I231" s="3">
        <f>3*C231/100</f>
        <v>0.15</v>
      </c>
      <c r="J231" s="3">
        <f>20*C231/100</f>
        <v>1</v>
      </c>
      <c r="K231" s="3">
        <f>0.2*C231/100</f>
        <v>0.01</v>
      </c>
      <c r="L231" s="3">
        <f>0.4*C231/100</f>
        <v>0.02</v>
      </c>
      <c r="M231" s="3"/>
      <c r="N231" s="3"/>
      <c r="O231" s="3"/>
      <c r="P231" s="76">
        <f>661*C231/100</f>
        <v>33.05</v>
      </c>
      <c r="Q231" s="55"/>
    </row>
    <row r="232" spans="1:17" ht="16.5" customHeight="1">
      <c r="A232" s="96" t="s">
        <v>65</v>
      </c>
      <c r="B232" s="20">
        <v>18</v>
      </c>
      <c r="C232" s="20">
        <v>18</v>
      </c>
      <c r="D232" s="20"/>
      <c r="E232" s="23">
        <f>7.6*C232/100</f>
        <v>1.3679999999999999</v>
      </c>
      <c r="F232" s="23">
        <f>0.6*C232/100</f>
        <v>0.10799999999999998</v>
      </c>
      <c r="G232" s="23">
        <f>52.3*C232/100</f>
        <v>9.414</v>
      </c>
      <c r="H232" s="23">
        <f>20*C232/100</f>
        <v>3.6</v>
      </c>
      <c r="I232" s="23">
        <f>14*C232/100</f>
        <v>2.52</v>
      </c>
      <c r="J232" s="23">
        <f>65*C232/100</f>
        <v>11.7</v>
      </c>
      <c r="K232" s="23">
        <f>0.9*C232/100</f>
        <v>0.162</v>
      </c>
      <c r="L232" s="23">
        <v>0</v>
      </c>
      <c r="M232" s="23">
        <f>0.11*C232/100</f>
        <v>0.019799999999999998</v>
      </c>
      <c r="N232" s="23">
        <f>0.06*C232/100</f>
        <v>0.0108</v>
      </c>
      <c r="O232" s="23">
        <v>0</v>
      </c>
      <c r="P232" s="74">
        <f>233*C232/100</f>
        <v>41.94</v>
      </c>
      <c r="Q232" s="55"/>
    </row>
    <row r="233" spans="1:17" ht="16.5" customHeight="1">
      <c r="A233" s="96" t="s">
        <v>46</v>
      </c>
      <c r="B233" s="20">
        <v>10</v>
      </c>
      <c r="C233" s="20">
        <v>8</v>
      </c>
      <c r="D233" s="20"/>
      <c r="E233" s="23">
        <f>1.7*C233/100</f>
        <v>0.136</v>
      </c>
      <c r="F233" s="23">
        <v>0</v>
      </c>
      <c r="G233" s="23">
        <f>9.5*C233/100</f>
        <v>0.76</v>
      </c>
      <c r="H233" s="23">
        <f>31*C233/100</f>
        <v>2.48</v>
      </c>
      <c r="I233" s="23">
        <f>14*C233/100</f>
        <v>1.12</v>
      </c>
      <c r="J233" s="23">
        <f>58*C233/100</f>
        <v>4.64</v>
      </c>
      <c r="K233" s="23">
        <f>0.8*C233/100</f>
        <v>0.064</v>
      </c>
      <c r="L233" s="23">
        <v>0</v>
      </c>
      <c r="M233" s="23">
        <v>0</v>
      </c>
      <c r="N233" s="23">
        <v>0</v>
      </c>
      <c r="O233" s="23">
        <f>10*C233/100</f>
        <v>0.8</v>
      </c>
      <c r="P233" s="74">
        <f>43*C233/100</f>
        <v>3.44</v>
      </c>
      <c r="Q233" s="55"/>
    </row>
    <row r="234" spans="1:17" ht="16.5" customHeight="1">
      <c r="A234" s="72" t="s">
        <v>59</v>
      </c>
      <c r="B234" s="20">
        <v>6</v>
      </c>
      <c r="C234" s="20">
        <v>6</v>
      </c>
      <c r="D234" s="20"/>
      <c r="E234" s="23"/>
      <c r="F234" s="3">
        <f>99.9*C234/100</f>
        <v>5.994000000000001</v>
      </c>
      <c r="G234" s="3"/>
      <c r="H234" s="3"/>
      <c r="I234" s="3"/>
      <c r="J234" s="3"/>
      <c r="K234" s="3"/>
      <c r="L234" s="3"/>
      <c r="M234" s="3"/>
      <c r="N234" s="3"/>
      <c r="O234" s="3"/>
      <c r="P234" s="76">
        <f>899*C234/100</f>
        <v>53.94</v>
      </c>
      <c r="Q234" s="55"/>
    </row>
    <row r="235" spans="1:17" s="48" customFormat="1" ht="16.5" customHeight="1">
      <c r="A235" s="186" t="s">
        <v>128</v>
      </c>
      <c r="B235" s="187"/>
      <c r="C235" s="188"/>
      <c r="D235" s="10">
        <v>180</v>
      </c>
      <c r="E235" s="16">
        <f>E236+E237</f>
        <v>5.472000000000001</v>
      </c>
      <c r="F235" s="16">
        <f aca="true" t="shared" si="38" ref="F235:P235">F236+F237</f>
        <v>4.9879999999999995</v>
      </c>
      <c r="G235" s="16">
        <f t="shared" si="38"/>
        <v>42.800000000000004</v>
      </c>
      <c r="H235" s="16">
        <f t="shared" si="38"/>
        <v>23.48</v>
      </c>
      <c r="I235" s="16">
        <f t="shared" si="38"/>
        <v>54.7</v>
      </c>
      <c r="J235" s="16">
        <f t="shared" si="38"/>
        <v>188.54</v>
      </c>
      <c r="K235" s="16">
        <f t="shared" si="38"/>
        <v>1.9259999999999997</v>
      </c>
      <c r="L235" s="16">
        <f t="shared" si="38"/>
        <v>0.024000000000000004</v>
      </c>
      <c r="M235" s="16">
        <f t="shared" si="38"/>
        <v>0.0696</v>
      </c>
      <c r="N235" s="16">
        <f t="shared" si="38"/>
        <v>0.0348</v>
      </c>
      <c r="O235" s="16">
        <f t="shared" si="38"/>
        <v>0</v>
      </c>
      <c r="P235" s="71">
        <f t="shared" si="38"/>
        <v>227.57999999999998</v>
      </c>
      <c r="Q235" s="154"/>
    </row>
    <row r="236" spans="1:17" ht="16.5" customHeight="1">
      <c r="A236" s="72" t="s">
        <v>129</v>
      </c>
      <c r="B236" s="20">
        <v>58</v>
      </c>
      <c r="C236" s="20">
        <v>58</v>
      </c>
      <c r="D236" s="20"/>
      <c r="E236" s="23">
        <f>9.3*C236/100</f>
        <v>5.394000000000001</v>
      </c>
      <c r="F236" s="23">
        <f>1.1*C236/100</f>
        <v>0.638</v>
      </c>
      <c r="G236" s="23">
        <f>73.7*C236/100</f>
        <v>42.746</v>
      </c>
      <c r="H236" s="23">
        <f>38*C236/100</f>
        <v>22.04</v>
      </c>
      <c r="I236" s="23">
        <f>94*C236/100</f>
        <v>54.52</v>
      </c>
      <c r="J236" s="23">
        <f>323*C236/100</f>
        <v>187.34</v>
      </c>
      <c r="K236" s="23">
        <f>3.3*C236/100</f>
        <v>1.9139999999999997</v>
      </c>
      <c r="L236" s="23"/>
      <c r="M236" s="23">
        <f>0.12*C236/100</f>
        <v>0.0696</v>
      </c>
      <c r="N236" s="23">
        <f>0.06*C236/100</f>
        <v>0.0348</v>
      </c>
      <c r="O236" s="23"/>
      <c r="P236" s="74">
        <f>324*C236/100</f>
        <v>187.92</v>
      </c>
      <c r="Q236" s="55"/>
    </row>
    <row r="237" spans="1:17" ht="16.5" customHeight="1">
      <c r="A237" s="72" t="s">
        <v>63</v>
      </c>
      <c r="B237" s="20">
        <v>6</v>
      </c>
      <c r="C237" s="20">
        <v>6</v>
      </c>
      <c r="D237" s="20"/>
      <c r="E237" s="3">
        <f>1.3*C237/100</f>
        <v>0.07800000000000001</v>
      </c>
      <c r="F237" s="3">
        <f>72.5*C237/100</f>
        <v>4.35</v>
      </c>
      <c r="G237" s="3">
        <f>0.9*C237/100</f>
        <v>0.054000000000000006</v>
      </c>
      <c r="H237" s="3">
        <f>24*C237/100</f>
        <v>1.44</v>
      </c>
      <c r="I237" s="3">
        <f>3*C237/100</f>
        <v>0.18</v>
      </c>
      <c r="J237" s="3">
        <f>20*C237/100</f>
        <v>1.2</v>
      </c>
      <c r="K237" s="3">
        <f>0.2*C237/100</f>
        <v>0.012000000000000002</v>
      </c>
      <c r="L237" s="3">
        <f>0.4*C237/100</f>
        <v>0.024000000000000004</v>
      </c>
      <c r="M237" s="3"/>
      <c r="N237" s="3"/>
      <c r="O237" s="3"/>
      <c r="P237" s="76">
        <f>661*C237/100</f>
        <v>39.66</v>
      </c>
      <c r="Q237" s="55"/>
    </row>
    <row r="238" spans="1:17" ht="16.5" customHeight="1">
      <c r="A238" s="70" t="s">
        <v>16</v>
      </c>
      <c r="B238" s="20">
        <v>60</v>
      </c>
      <c r="C238" s="20">
        <v>60</v>
      </c>
      <c r="D238" s="10">
        <v>60</v>
      </c>
      <c r="E238" s="16">
        <f>7.6*C238/100</f>
        <v>4.56</v>
      </c>
      <c r="F238" s="16">
        <f>0.6*C238/100</f>
        <v>0.36</v>
      </c>
      <c r="G238" s="16">
        <f>52.3*C238/100</f>
        <v>31.38</v>
      </c>
      <c r="H238" s="16">
        <f>20*C238/100</f>
        <v>12</v>
      </c>
      <c r="I238" s="16">
        <f>14*C238/100</f>
        <v>8.4</v>
      </c>
      <c r="J238" s="16">
        <f>65*C238/100</f>
        <v>39</v>
      </c>
      <c r="K238" s="16">
        <f>0.9*C238/100</f>
        <v>0.54</v>
      </c>
      <c r="L238" s="16">
        <v>0</v>
      </c>
      <c r="M238" s="16">
        <f>0.11*C238/100</f>
        <v>0.066</v>
      </c>
      <c r="N238" s="16">
        <f>0.06*C238/100</f>
        <v>0.036</v>
      </c>
      <c r="O238" s="16">
        <v>0</v>
      </c>
      <c r="P238" s="71">
        <f>233*C238/100</f>
        <v>139.8</v>
      </c>
      <c r="Q238" s="55"/>
    </row>
    <row r="239" spans="1:17" ht="16.5" customHeight="1">
      <c r="A239" s="70" t="s">
        <v>17</v>
      </c>
      <c r="B239" s="20">
        <v>35</v>
      </c>
      <c r="C239" s="20">
        <v>35</v>
      </c>
      <c r="D239" s="10">
        <v>35</v>
      </c>
      <c r="E239" s="16">
        <f>6.5*C239/100</f>
        <v>2.275</v>
      </c>
      <c r="F239" s="16">
        <f>1*C239/100</f>
        <v>0.35</v>
      </c>
      <c r="G239" s="16">
        <f>40.1*C239/100</f>
        <v>14.035</v>
      </c>
      <c r="H239" s="16">
        <f>38*C239/100</f>
        <v>13.3</v>
      </c>
      <c r="I239" s="16">
        <f>49*C239/100</f>
        <v>17.15</v>
      </c>
      <c r="J239" s="16">
        <f>156*C239/100</f>
        <v>54.6</v>
      </c>
      <c r="K239" s="16">
        <f>2.6*C239/100</f>
        <v>0.91</v>
      </c>
      <c r="L239" s="16">
        <v>0</v>
      </c>
      <c r="M239" s="16">
        <f>0.18*C239/100</f>
        <v>0.063</v>
      </c>
      <c r="N239" s="16">
        <f>0.11*C239/100</f>
        <v>0.0385</v>
      </c>
      <c r="O239" s="16">
        <v>0</v>
      </c>
      <c r="P239" s="71">
        <f>190*C239/100</f>
        <v>66.5</v>
      </c>
      <c r="Q239" s="55"/>
    </row>
    <row r="240" spans="1:17" ht="16.5" customHeight="1">
      <c r="A240" s="181" t="s">
        <v>38</v>
      </c>
      <c r="B240" s="182"/>
      <c r="C240" s="182"/>
      <c r="D240" s="10">
        <v>200</v>
      </c>
      <c r="E240" s="16">
        <f aca="true" t="shared" si="39" ref="E240:O240">E241+E242</f>
        <v>0.09600000000000002</v>
      </c>
      <c r="F240" s="16">
        <f t="shared" si="39"/>
        <v>0</v>
      </c>
      <c r="G240" s="16">
        <f t="shared" si="39"/>
        <v>31.46</v>
      </c>
      <c r="H240" s="16">
        <f t="shared" si="39"/>
        <v>0.2</v>
      </c>
      <c r="I240" s="16">
        <f t="shared" si="39"/>
        <v>0</v>
      </c>
      <c r="J240" s="16">
        <f t="shared" si="39"/>
        <v>0</v>
      </c>
      <c r="K240" s="16">
        <f t="shared" si="39"/>
        <v>0.03</v>
      </c>
      <c r="L240" s="16">
        <f t="shared" si="39"/>
        <v>0</v>
      </c>
      <c r="M240" s="16">
        <f t="shared" si="39"/>
        <v>0</v>
      </c>
      <c r="N240" s="16">
        <f t="shared" si="39"/>
        <v>0</v>
      </c>
      <c r="O240" s="16">
        <f t="shared" si="39"/>
        <v>0</v>
      </c>
      <c r="P240" s="71">
        <f>P241+P242</f>
        <v>118.52000000000001</v>
      </c>
      <c r="Q240" s="55"/>
    </row>
    <row r="241" spans="1:17" ht="16.5" customHeight="1">
      <c r="A241" s="72" t="s">
        <v>53</v>
      </c>
      <c r="B241" s="20">
        <v>10</v>
      </c>
      <c r="C241" s="20">
        <v>10</v>
      </c>
      <c r="D241" s="20"/>
      <c r="E241" s="23"/>
      <c r="F241" s="23"/>
      <c r="G241" s="3">
        <f>99.8*C241/100</f>
        <v>9.98</v>
      </c>
      <c r="H241" s="3">
        <f>2*C241/100</f>
        <v>0.2</v>
      </c>
      <c r="I241" s="3"/>
      <c r="J241" s="3"/>
      <c r="K241" s="3">
        <f>0.3*C241/100</f>
        <v>0.03</v>
      </c>
      <c r="L241" s="3"/>
      <c r="M241" s="3"/>
      <c r="N241" s="3"/>
      <c r="O241" s="3"/>
      <c r="P241" s="76">
        <f>374*C241/100</f>
        <v>37.4</v>
      </c>
      <c r="Q241" s="55"/>
    </row>
    <row r="242" spans="1:17" ht="16.5" customHeight="1">
      <c r="A242" s="72" t="s">
        <v>71</v>
      </c>
      <c r="B242" s="20">
        <v>24</v>
      </c>
      <c r="C242" s="20">
        <v>24</v>
      </c>
      <c r="D242" s="20"/>
      <c r="E242" s="21">
        <f>0.4*C242/100</f>
        <v>0.09600000000000002</v>
      </c>
      <c r="F242" s="21"/>
      <c r="G242" s="21">
        <f>89.5*C242/100</f>
        <v>21.48</v>
      </c>
      <c r="H242" s="21"/>
      <c r="I242" s="21"/>
      <c r="J242" s="21"/>
      <c r="K242" s="21"/>
      <c r="L242" s="21"/>
      <c r="M242" s="21"/>
      <c r="N242" s="21"/>
      <c r="O242" s="21"/>
      <c r="P242" s="73">
        <f>338*C242/100</f>
        <v>81.12</v>
      </c>
      <c r="Q242" s="55"/>
    </row>
    <row r="243" spans="1:17" ht="33" customHeight="1">
      <c r="A243" s="77" t="s">
        <v>22</v>
      </c>
      <c r="B243" s="4"/>
      <c r="C243" s="4"/>
      <c r="D243" s="4"/>
      <c r="E243" s="4">
        <f>E218+E228+E235+E238+E239+E240</f>
        <v>33.723</v>
      </c>
      <c r="F243" s="4">
        <f aca="true" t="shared" si="40" ref="F243:P243">F218+F228+F235+F238+F239+F240</f>
        <v>29.916000000000004</v>
      </c>
      <c r="G243" s="4">
        <f t="shared" si="40"/>
        <v>151.17600000000002</v>
      </c>
      <c r="H243" s="4">
        <f t="shared" si="40"/>
        <v>105.00999999999999</v>
      </c>
      <c r="I243" s="4">
        <f t="shared" si="40"/>
        <v>119.24000000000001</v>
      </c>
      <c r="J243" s="4">
        <f t="shared" si="40"/>
        <v>368.39</v>
      </c>
      <c r="K243" s="4">
        <f t="shared" si="40"/>
        <v>5.144</v>
      </c>
      <c r="L243" s="4">
        <f t="shared" si="40"/>
        <v>1.3637999999999997</v>
      </c>
      <c r="M243" s="4">
        <f t="shared" si="40"/>
        <v>0.2728</v>
      </c>
      <c r="N243" s="4">
        <f t="shared" si="40"/>
        <v>0.1531</v>
      </c>
      <c r="O243" s="4">
        <f t="shared" si="40"/>
        <v>23.3</v>
      </c>
      <c r="P243" s="78">
        <f t="shared" si="40"/>
        <v>976.5799999999999</v>
      </c>
      <c r="Q243" s="55"/>
    </row>
    <row r="244" spans="1:17" ht="37.5" customHeight="1" thickBot="1">
      <c r="A244" s="197" t="s">
        <v>130</v>
      </c>
      <c r="B244" s="198"/>
      <c r="C244" s="199"/>
      <c r="D244" s="127"/>
      <c r="E244" s="127">
        <f aca="true" t="shared" si="41" ref="E244:P244">E213+E243</f>
        <v>56.852999999999994</v>
      </c>
      <c r="F244" s="127">
        <f t="shared" si="41"/>
        <v>49.681</v>
      </c>
      <c r="G244" s="127">
        <f t="shared" si="41"/>
        <v>243.56600000000003</v>
      </c>
      <c r="H244" s="127">
        <f t="shared" si="41"/>
        <v>660.21</v>
      </c>
      <c r="I244" s="127">
        <f t="shared" si="41"/>
        <v>193.24</v>
      </c>
      <c r="J244" s="127">
        <f t="shared" si="41"/>
        <v>803.39</v>
      </c>
      <c r="K244" s="127">
        <f t="shared" si="41"/>
        <v>8.164</v>
      </c>
      <c r="L244" s="127">
        <f t="shared" si="41"/>
        <v>1.5237999999999996</v>
      </c>
      <c r="M244" s="127">
        <f t="shared" si="41"/>
        <v>0.5218</v>
      </c>
      <c r="N244" s="127">
        <f t="shared" si="41"/>
        <v>0.42460000000000003</v>
      </c>
      <c r="O244" s="127">
        <f t="shared" si="41"/>
        <v>31.6</v>
      </c>
      <c r="P244" s="132">
        <f t="shared" si="41"/>
        <v>1601.33</v>
      </c>
      <c r="Q244" s="55"/>
    </row>
    <row r="245" spans="1:17" s="176" customFormat="1" ht="16.5" thickBot="1">
      <c r="A245" s="172" t="s">
        <v>131</v>
      </c>
      <c r="B245" s="173"/>
      <c r="C245" s="173"/>
      <c r="D245" s="173"/>
      <c r="E245" s="173">
        <f>('Сырье 12-18 лет(1-5 день)'!E53+'Сырье 12-18 лет(1-5 день)'!E96+'Сырье 12-18 лет(1-5 день)'!E150+'Сырье 12-18 лет(1-5 день)'!E201+'Сырье 12-18 лет(1-5 день)'!E242+'Сырье 12-18 лет(6-10 день)'!E49+'Сырье 12-18 лет(6-10 день)'!E98+'Сырье 12-18 лет(6-10 день)'!E146+'Сырье 12-18 лет(6-10 день)'!E196+'Сырье 12-18 лет(6-10 день)'!E244)/10</f>
        <v>63.59965</v>
      </c>
      <c r="F245" s="173">
        <f>('Сырье 12-18 лет(1-5 день)'!F53+'Сырье 12-18 лет(1-5 день)'!F96+'Сырье 12-18 лет(1-5 день)'!F150+'Сырье 12-18 лет(1-5 день)'!F201+'Сырье 12-18 лет(1-5 день)'!F242+'Сырье 12-18 лет(6-10 день)'!F49+'Сырье 12-18 лет(6-10 день)'!F98+'Сырье 12-18 лет(6-10 день)'!F146+'Сырье 12-18 лет(6-10 день)'!F196+'Сырье 12-18 лет(6-10 день)'!F244)/10</f>
        <v>55.4288</v>
      </c>
      <c r="G245" s="173">
        <f>('Сырье 12-18 лет(1-5 день)'!G53+'Сырье 12-18 лет(1-5 день)'!G96+'Сырье 12-18 лет(1-5 день)'!G150+'Сырье 12-18 лет(1-5 день)'!G201+'Сырье 12-18 лет(1-5 день)'!G242+'Сырье 12-18 лет(6-10 день)'!G49+'Сырье 12-18 лет(6-10 день)'!G98+'Сырье 12-18 лет(6-10 день)'!G146+'Сырье 12-18 лет(6-10 день)'!G196+'Сырье 12-18 лет(6-10 день)'!G244)/10</f>
        <v>237.61495000000005</v>
      </c>
      <c r="H245" s="173">
        <f>('Сырье 12-18 лет(1-5 день)'!H53+'Сырье 12-18 лет(1-5 день)'!H96+'Сырье 12-18 лет(1-5 день)'!H150+'Сырье 12-18 лет(1-5 день)'!H201+'Сырье 12-18 лет(1-5 день)'!H242+'Сырье 12-18 лет(6-10 день)'!H49+'Сырье 12-18 лет(6-10 день)'!H98+'Сырье 12-18 лет(6-10 день)'!H146+'Сырье 12-18 лет(6-10 день)'!H196+'Сырье 12-18 лет(6-10 день)'!H244)/10</f>
        <v>404.8065</v>
      </c>
      <c r="I245" s="173">
        <f>('Сырье 12-18 лет(1-5 день)'!I53+'Сырье 12-18 лет(1-5 день)'!I96+'Сырье 12-18 лет(1-5 день)'!I150+'Сырье 12-18 лет(1-5 день)'!I201+'Сырье 12-18 лет(1-5 день)'!I242+'Сырье 12-18 лет(6-10 день)'!I49+'Сырье 12-18 лет(6-10 день)'!I98+'Сырье 12-18 лет(6-10 день)'!I146+'Сырье 12-18 лет(6-10 день)'!I196+'Сырье 12-18 лет(6-10 день)'!I244)/10</f>
        <v>214.02200000000002</v>
      </c>
      <c r="J245" s="173">
        <f>('Сырье 12-18 лет(1-5 день)'!J53+'Сырье 12-18 лет(1-5 день)'!J96+'Сырье 12-18 лет(1-5 день)'!J150+'Сырье 12-18 лет(1-5 день)'!J201+'Сырье 12-18 лет(1-5 день)'!J242+'Сырье 12-18 лет(6-10 день)'!J49+'Сырье 12-18 лет(6-10 день)'!J98+'Сырье 12-18 лет(6-10 день)'!J146+'Сырье 12-18 лет(6-10 день)'!J196+'Сырье 12-18 лет(6-10 день)'!J244)/10</f>
        <v>843.4459999999999</v>
      </c>
      <c r="K245" s="173">
        <f>('Сырье 12-18 лет(1-5 день)'!K53+'Сырье 12-18 лет(1-5 день)'!K96+'Сырье 12-18 лет(1-5 день)'!K150+'Сырье 12-18 лет(1-5 день)'!K201+'Сырье 12-18 лет(1-5 день)'!K242+'Сырье 12-18 лет(6-10 день)'!K49+'Сырье 12-18 лет(6-10 день)'!K98+'Сырье 12-18 лет(6-10 день)'!K146+'Сырье 12-18 лет(6-10 день)'!K196+'Сырье 12-18 лет(6-10 день)'!K244)/10</f>
        <v>13.131300000000001</v>
      </c>
      <c r="L245" s="173">
        <f>('Сырье 12-18 лет(1-5 день)'!L53+'Сырье 12-18 лет(1-5 день)'!L96+'Сырье 12-18 лет(1-5 день)'!L150+'Сырье 12-18 лет(1-5 день)'!L201+'Сырье 12-18 лет(1-5 день)'!L242+'Сырье 12-18 лет(6-10 день)'!L49+'Сырье 12-18 лет(6-10 день)'!L98+'Сырье 12-18 лет(6-10 день)'!L146+'Сырье 12-18 лет(6-10 день)'!L196+'Сырье 12-18 лет(6-10 день)'!L244)/10</f>
        <v>3.5381049999999994</v>
      </c>
      <c r="M245" s="173">
        <f>('Сырье 12-18 лет(1-5 день)'!M53+'Сырье 12-18 лет(1-5 день)'!M96+'Сырье 12-18 лет(1-5 день)'!M150+'Сырье 12-18 лет(1-5 день)'!M201+'Сырье 12-18 лет(1-5 день)'!M242+'Сырье 12-18 лет(6-10 день)'!M49+'Сырье 12-18 лет(6-10 день)'!M98+'Сырье 12-18 лет(6-10 день)'!M146+'Сырье 12-18 лет(6-10 день)'!M196+'Сырье 12-18 лет(6-10 день)'!M244)/10</f>
        <v>0.80496</v>
      </c>
      <c r="N245" s="173">
        <f>('Сырье 12-18 лет(1-5 день)'!N53+'Сырье 12-18 лет(1-5 день)'!N96+'Сырье 12-18 лет(1-5 день)'!N150+'Сырье 12-18 лет(1-5 день)'!N201+'Сырье 12-18 лет(1-5 день)'!N242+'Сырье 12-18 лет(6-10 день)'!N49+'Сырье 12-18 лет(6-10 день)'!N98+'Сырье 12-18 лет(6-10 день)'!N146+'Сырье 12-18 лет(6-10 день)'!N196+'Сырье 12-18 лет(6-10 день)'!N244)/10</f>
        <v>0.899945</v>
      </c>
      <c r="O245" s="173">
        <f>('Сырье 12-18 лет(1-5 день)'!O53+'Сырье 12-18 лет(1-5 день)'!O96+'Сырье 12-18 лет(1-5 день)'!O150+'Сырье 12-18 лет(1-5 день)'!O201+'Сырье 12-18 лет(1-5 день)'!O242+'Сырье 12-18 лет(6-10 день)'!O49+'Сырье 12-18 лет(6-10 день)'!O98+'Сырье 12-18 лет(6-10 день)'!O146+'Сырье 12-18 лет(6-10 день)'!O196+'Сырье 12-18 лет(6-10 день)'!O244)/10</f>
        <v>81.70375</v>
      </c>
      <c r="P245" s="174">
        <f>('Сырье 12-18 лет(1-5 день)'!P53+'Сырье 12-18 лет(1-5 день)'!P96+'Сырье 12-18 лет(1-5 день)'!P150+'Сырье 12-18 лет(1-5 день)'!P201+'Сырье 12-18 лет(1-5 день)'!P242+'Сырье 12-18 лет(6-10 день)'!P49+'Сырье 12-18 лет(6-10 день)'!P98+'Сырье 12-18 лет(6-10 день)'!P146+'Сырье 12-18 лет(6-10 день)'!P196+'Сырье 12-18 лет(6-10 день)'!P244)/10</f>
        <v>1659.4005000000002</v>
      </c>
      <c r="Q245" s="175"/>
    </row>
    <row r="246" spans="1:16" ht="12.75">
      <c r="A246" s="136"/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</row>
    <row r="249" ht="12.75">
      <c r="E249" s="17">
        <v>90</v>
      </c>
    </row>
  </sheetData>
  <sheetProtection/>
  <mergeCells count="124">
    <mergeCell ref="A202:A204"/>
    <mergeCell ref="B202:B204"/>
    <mergeCell ref="C215:C217"/>
    <mergeCell ref="D215:D217"/>
    <mergeCell ref="A58:C58"/>
    <mergeCell ref="A68:C68"/>
    <mergeCell ref="A240:C240"/>
    <mergeCell ref="A235:C235"/>
    <mergeCell ref="A196:C196"/>
    <mergeCell ref="A183:C183"/>
    <mergeCell ref="A192:C192"/>
    <mergeCell ref="A205:C205"/>
    <mergeCell ref="L215:O216"/>
    <mergeCell ref="P215:P217"/>
    <mergeCell ref="A244:C244"/>
    <mergeCell ref="H216:K216"/>
    <mergeCell ref="A218:C218"/>
    <mergeCell ref="A228:C228"/>
    <mergeCell ref="E215:G216"/>
    <mergeCell ref="H215:K215"/>
    <mergeCell ref="A215:A217"/>
    <mergeCell ref="B215:B217"/>
    <mergeCell ref="P171:P173"/>
    <mergeCell ref="H172:K172"/>
    <mergeCell ref="C202:C204"/>
    <mergeCell ref="E202:G203"/>
    <mergeCell ref="H202:K202"/>
    <mergeCell ref="L202:O203"/>
    <mergeCell ref="P202:P204"/>
    <mergeCell ref="H203:K203"/>
    <mergeCell ref="D202:D204"/>
    <mergeCell ref="L151:O152"/>
    <mergeCell ref="P151:P153"/>
    <mergeCell ref="H152:K152"/>
    <mergeCell ref="A171:A173"/>
    <mergeCell ref="B171:B173"/>
    <mergeCell ref="C171:C173"/>
    <mergeCell ref="D171:D173"/>
    <mergeCell ref="E171:G172"/>
    <mergeCell ref="H171:K171"/>
    <mergeCell ref="L171:O172"/>
    <mergeCell ref="A151:A153"/>
    <mergeCell ref="B151:B153"/>
    <mergeCell ref="C151:C153"/>
    <mergeCell ref="D151:D153"/>
    <mergeCell ref="E151:G152"/>
    <mergeCell ref="H151:K151"/>
    <mergeCell ref="P103:P105"/>
    <mergeCell ref="H104:K104"/>
    <mergeCell ref="A103:A105"/>
    <mergeCell ref="B103:B105"/>
    <mergeCell ref="C103:C105"/>
    <mergeCell ref="D103:D105"/>
    <mergeCell ref="E103:G104"/>
    <mergeCell ref="H103:K103"/>
    <mergeCell ref="L103:O104"/>
    <mergeCell ref="A55:A57"/>
    <mergeCell ref="B55:B57"/>
    <mergeCell ref="C55:C57"/>
    <mergeCell ref="A49:C49"/>
    <mergeCell ref="A86:C86"/>
    <mergeCell ref="A91:C91"/>
    <mergeCell ref="A75:A77"/>
    <mergeCell ref="B75:B77"/>
    <mergeCell ref="C75:C77"/>
    <mergeCell ref="A26:C26"/>
    <mergeCell ref="D55:D57"/>
    <mergeCell ref="E55:G56"/>
    <mergeCell ref="H55:K55"/>
    <mergeCell ref="L55:O56"/>
    <mergeCell ref="P55:P57"/>
    <mergeCell ref="H56:K56"/>
    <mergeCell ref="A45:C45"/>
    <mergeCell ref="A33:C33"/>
    <mergeCell ref="A40:C40"/>
    <mergeCell ref="A8:C8"/>
    <mergeCell ref="A23:A25"/>
    <mergeCell ref="B23:B25"/>
    <mergeCell ref="C23:C25"/>
    <mergeCell ref="A16:C16"/>
    <mergeCell ref="P23:P25"/>
    <mergeCell ref="H24:K24"/>
    <mergeCell ref="D23:D25"/>
    <mergeCell ref="L4:O5"/>
    <mergeCell ref="P4:P6"/>
    <mergeCell ref="H5:K5"/>
    <mergeCell ref="E23:G24"/>
    <mergeCell ref="H23:K23"/>
    <mergeCell ref="L23:O24"/>
    <mergeCell ref="A4:A6"/>
    <mergeCell ref="B4:B6"/>
    <mergeCell ref="C4:C6"/>
    <mergeCell ref="D4:D6"/>
    <mergeCell ref="E4:G5"/>
    <mergeCell ref="H4:K4"/>
    <mergeCell ref="P75:P77"/>
    <mergeCell ref="A78:C78"/>
    <mergeCell ref="D75:D77"/>
    <mergeCell ref="E75:G76"/>
    <mergeCell ref="H75:K75"/>
    <mergeCell ref="L75:O76"/>
    <mergeCell ref="H76:K76"/>
    <mergeCell ref="H120:K120"/>
    <mergeCell ref="L120:O121"/>
    <mergeCell ref="P120:P122"/>
    <mergeCell ref="H121:K121"/>
    <mergeCell ref="A107:C107"/>
    <mergeCell ref="A114:C114"/>
    <mergeCell ref="D120:D122"/>
    <mergeCell ref="A123:C123"/>
    <mergeCell ref="A130:C130"/>
    <mergeCell ref="E120:G121"/>
    <mergeCell ref="A120:A122"/>
    <mergeCell ref="B120:B122"/>
    <mergeCell ref="A200:B200"/>
    <mergeCell ref="A3:B3"/>
    <mergeCell ref="A53:B53"/>
    <mergeCell ref="A102:B102"/>
    <mergeCell ref="A150:B150"/>
    <mergeCell ref="A134:C134"/>
    <mergeCell ref="A146:C146"/>
    <mergeCell ref="A142:C142"/>
    <mergeCell ref="C120:C122"/>
    <mergeCell ref="A98:C98"/>
  </mergeCells>
  <printOptions/>
  <pageMargins left="0.75" right="0.75" top="1" bottom="1" header="0.5" footer="0.5"/>
  <pageSetup horizontalDpi="600" verticalDpi="600" orientation="landscape" paperSize="9" scale="83" r:id="rId1"/>
  <rowBreaks count="10" manualBreakCount="10">
    <brk id="21" max="15" man="1"/>
    <brk id="49" max="15" man="1"/>
    <brk id="73" max="15" man="1"/>
    <brk id="98" max="15" man="1"/>
    <brk id="118" max="255" man="1"/>
    <brk id="146" max="15" man="1"/>
    <brk id="169" max="255" man="1"/>
    <brk id="196" max="15" man="1"/>
    <brk id="213" max="15" man="1"/>
    <brk id="245" max="15" man="1"/>
  </rowBreaks>
  <colBreaks count="1" manualBreakCount="1">
    <brk id="16" max="65535" man="1"/>
  </colBreaks>
  <ignoredErrors>
    <ignoredError sqref="J28 N43 E37:P37 G40:H40 J220 O222 E222 F234 P234 K130 K64" formula="1"/>
    <ignoredError sqref="L195" evalError="1"/>
    <ignoredError sqref="B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5"/>
  <sheetViews>
    <sheetView tabSelected="1" view="pageBreakPreview" zoomScaleSheetLayoutView="100" zoomScalePageLayoutView="0" workbookViewId="0" topLeftCell="A1">
      <selection activeCell="E216" sqref="E216"/>
    </sheetView>
  </sheetViews>
  <sheetFormatPr defaultColWidth="9.140625" defaultRowHeight="12.75"/>
  <cols>
    <col min="1" max="1" width="20.00390625" style="43" customWidth="1"/>
    <col min="2" max="2" width="8.57421875" style="17" customWidth="1"/>
    <col min="3" max="3" width="8.7109375" style="17" customWidth="1"/>
    <col min="4" max="4" width="9.140625" style="19" customWidth="1"/>
    <col min="5" max="9" width="7.140625" style="44" customWidth="1"/>
    <col min="10" max="10" width="8.00390625" style="44" customWidth="1"/>
    <col min="11" max="15" width="7.140625" style="44" customWidth="1"/>
    <col min="16" max="16" width="9.57421875" style="45" customWidth="1"/>
    <col min="17" max="17" width="5.57421875" style="17" customWidth="1"/>
    <col min="18" max="16384" width="9.140625" style="17" customWidth="1"/>
  </cols>
  <sheetData>
    <row r="1" spans="1:16" s="159" customFormat="1" ht="16.5" customHeight="1">
      <c r="A1" s="158" t="s">
        <v>150</v>
      </c>
      <c r="D1" s="160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</row>
    <row r="2" spans="1:16" s="159" customFormat="1" ht="16.5" customHeight="1">
      <c r="A2" s="158" t="s">
        <v>151</v>
      </c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2"/>
    </row>
    <row r="3" spans="1:16" s="159" customFormat="1" ht="16.5" customHeight="1" thickBot="1">
      <c r="A3" s="180" t="s">
        <v>152</v>
      </c>
      <c r="B3" s="180"/>
      <c r="D3" s="160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2"/>
    </row>
    <row r="4" spans="1:17" ht="16.5" customHeight="1">
      <c r="A4" s="65" t="s">
        <v>14</v>
      </c>
      <c r="B4" s="101"/>
      <c r="C4" s="101"/>
      <c r="D4" s="93"/>
      <c r="E4" s="97"/>
      <c r="F4" s="68"/>
      <c r="G4" s="68"/>
      <c r="H4" s="68"/>
      <c r="I4" s="68"/>
      <c r="J4" s="68"/>
      <c r="K4" s="68"/>
      <c r="L4" s="68"/>
      <c r="M4" s="68"/>
      <c r="N4" s="68"/>
      <c r="O4" s="68"/>
      <c r="P4" s="69"/>
      <c r="Q4" s="55"/>
    </row>
    <row r="5" spans="1:17" s="19" customFormat="1" ht="16.5" customHeight="1">
      <c r="A5" s="203" t="s">
        <v>0</v>
      </c>
      <c r="B5" s="185" t="s">
        <v>40</v>
      </c>
      <c r="C5" s="185" t="s">
        <v>41</v>
      </c>
      <c r="D5" s="213" t="s">
        <v>42</v>
      </c>
      <c r="E5" s="189" t="s">
        <v>1</v>
      </c>
      <c r="F5" s="189"/>
      <c r="G5" s="189"/>
      <c r="H5" s="189" t="s">
        <v>3</v>
      </c>
      <c r="I5" s="189"/>
      <c r="J5" s="189"/>
      <c r="K5" s="189"/>
      <c r="L5" s="206" t="s">
        <v>2</v>
      </c>
      <c r="M5" s="207"/>
      <c r="N5" s="207"/>
      <c r="O5" s="207"/>
      <c r="P5" s="210" t="s">
        <v>43</v>
      </c>
      <c r="Q5" s="58"/>
    </row>
    <row r="6" spans="1:17" s="19" customFormat="1" ht="16.5" customHeight="1">
      <c r="A6" s="204"/>
      <c r="B6" s="185"/>
      <c r="C6" s="185"/>
      <c r="D6" s="214"/>
      <c r="E6" s="189"/>
      <c r="F6" s="189"/>
      <c r="G6" s="189"/>
      <c r="H6" s="189" t="s">
        <v>4</v>
      </c>
      <c r="I6" s="189"/>
      <c r="J6" s="189"/>
      <c r="K6" s="189"/>
      <c r="L6" s="208"/>
      <c r="M6" s="209"/>
      <c r="N6" s="209"/>
      <c r="O6" s="209"/>
      <c r="P6" s="211"/>
      <c r="Q6" s="58"/>
    </row>
    <row r="7" spans="1:17" s="19" customFormat="1" ht="16.5" customHeight="1">
      <c r="A7" s="205"/>
      <c r="B7" s="185"/>
      <c r="C7" s="185"/>
      <c r="D7" s="215"/>
      <c r="E7" s="18" t="s">
        <v>5</v>
      </c>
      <c r="F7" s="18" t="s">
        <v>6</v>
      </c>
      <c r="G7" s="18" t="s">
        <v>7</v>
      </c>
      <c r="H7" s="18" t="s">
        <v>10</v>
      </c>
      <c r="I7" s="18" t="s">
        <v>12</v>
      </c>
      <c r="J7" s="18" t="s">
        <v>11</v>
      </c>
      <c r="K7" s="18" t="s">
        <v>13</v>
      </c>
      <c r="L7" s="18" t="s">
        <v>9</v>
      </c>
      <c r="M7" s="18" t="s">
        <v>51</v>
      </c>
      <c r="N7" s="18" t="s">
        <v>52</v>
      </c>
      <c r="O7" s="18" t="s">
        <v>8</v>
      </c>
      <c r="P7" s="212"/>
      <c r="Q7" s="58"/>
    </row>
    <row r="8" spans="1:17" s="11" customFormat="1" ht="16.5" customHeight="1">
      <c r="A8" s="186" t="s">
        <v>44</v>
      </c>
      <c r="B8" s="187"/>
      <c r="C8" s="188"/>
      <c r="D8" s="10">
        <v>50</v>
      </c>
      <c r="E8" s="16">
        <f>E9+E10+E11+E12+E13</f>
        <v>12.797999999999998</v>
      </c>
      <c r="F8" s="16">
        <f aca="true" t="shared" si="0" ref="F8:P8">F9+F10+F11+F12+F13</f>
        <v>9.823</v>
      </c>
      <c r="G8" s="16">
        <f t="shared" si="0"/>
        <v>0.775</v>
      </c>
      <c r="H8" s="16">
        <f t="shared" si="0"/>
        <v>33.79</v>
      </c>
      <c r="I8" s="16">
        <f t="shared" si="0"/>
        <v>29.009999999999994</v>
      </c>
      <c r="J8" s="16">
        <f t="shared" si="0"/>
        <v>6.07</v>
      </c>
      <c r="K8" s="16">
        <f t="shared" si="0"/>
        <v>1.842</v>
      </c>
      <c r="L8" s="16">
        <f t="shared" si="0"/>
        <v>0.48800000000000004</v>
      </c>
      <c r="M8" s="16">
        <f t="shared" si="0"/>
        <v>0.036</v>
      </c>
      <c r="N8" s="16">
        <f t="shared" si="0"/>
        <v>0.084</v>
      </c>
      <c r="O8" s="16">
        <f t="shared" si="0"/>
        <v>0.65</v>
      </c>
      <c r="P8" s="71">
        <f t="shared" si="0"/>
        <v>142.60000000000002</v>
      </c>
      <c r="Q8" s="56"/>
    </row>
    <row r="9" spans="1:17" s="22" customFormat="1" ht="16.5" customHeight="1">
      <c r="A9" s="72" t="s">
        <v>45</v>
      </c>
      <c r="B9" s="20">
        <v>100</v>
      </c>
      <c r="C9" s="20">
        <v>60</v>
      </c>
      <c r="D9" s="20"/>
      <c r="E9" s="21">
        <f>21*C9/100</f>
        <v>12.6</v>
      </c>
      <c r="F9" s="21">
        <f>7*C9/100</f>
        <v>4.2</v>
      </c>
      <c r="G9" s="21"/>
      <c r="H9" s="21">
        <f>48*C9/100</f>
        <v>28.8</v>
      </c>
      <c r="I9" s="21">
        <f>44*C9/100</f>
        <v>26.4</v>
      </c>
      <c r="J9" s="21"/>
      <c r="K9" s="21">
        <f>2.9*C9/100</f>
        <v>1.74</v>
      </c>
      <c r="L9" s="21">
        <f>0.03*C9/100</f>
        <v>0.018</v>
      </c>
      <c r="M9" s="21">
        <f>0.06*C9/100</f>
        <v>0.036</v>
      </c>
      <c r="N9" s="21">
        <f>0.14*C9/100</f>
        <v>0.084</v>
      </c>
      <c r="O9" s="21"/>
      <c r="P9" s="73">
        <f>147*C9/100</f>
        <v>88.2</v>
      </c>
      <c r="Q9" s="59"/>
    </row>
    <row r="10" spans="1:17" s="22" customFormat="1" ht="16.5" customHeight="1">
      <c r="A10" s="72" t="s">
        <v>46</v>
      </c>
      <c r="B10" s="20">
        <v>5</v>
      </c>
      <c r="C10" s="20">
        <v>4</v>
      </c>
      <c r="D10" s="20"/>
      <c r="E10" s="23">
        <f>1.7*C10/100</f>
        <v>0.068</v>
      </c>
      <c r="F10" s="23">
        <v>0</v>
      </c>
      <c r="G10" s="23">
        <f>9.5*C10/100</f>
        <v>0.38</v>
      </c>
      <c r="H10" s="23">
        <f>31*C10/100</f>
        <v>1.24</v>
      </c>
      <c r="I10" s="23">
        <f>14*C10/100</f>
        <v>0.56</v>
      </c>
      <c r="J10" s="23">
        <f>58*C10/100</f>
        <v>2.32</v>
      </c>
      <c r="K10" s="23">
        <f>0.8*C10/100</f>
        <v>0.032</v>
      </c>
      <c r="L10" s="23">
        <v>0</v>
      </c>
      <c r="M10" s="23">
        <v>0</v>
      </c>
      <c r="N10" s="23">
        <v>0</v>
      </c>
      <c r="O10" s="23">
        <f>10*C10/100</f>
        <v>0.4</v>
      </c>
      <c r="P10" s="74">
        <f>43*C10/100</f>
        <v>1.72</v>
      </c>
      <c r="Q10" s="59"/>
    </row>
    <row r="11" spans="1:17" s="22" customFormat="1" ht="16.5" customHeight="1">
      <c r="A11" s="72" t="s">
        <v>47</v>
      </c>
      <c r="B11" s="20">
        <v>6</v>
      </c>
      <c r="C11" s="20">
        <v>5</v>
      </c>
      <c r="D11" s="20"/>
      <c r="E11" s="24">
        <f>1.3*C11/100</f>
        <v>0.065</v>
      </c>
      <c r="F11" s="24"/>
      <c r="G11" s="24">
        <f>7*C11/100</f>
        <v>0.35</v>
      </c>
      <c r="H11" s="24">
        <f>51*C11/100</f>
        <v>2.55</v>
      </c>
      <c r="I11" s="24">
        <f>38*C11/100</f>
        <v>1.9</v>
      </c>
      <c r="J11" s="24">
        <f>55*C11/100</f>
        <v>2.75</v>
      </c>
      <c r="K11" s="24">
        <f>1.2*C11/100</f>
        <v>0.06</v>
      </c>
      <c r="L11" s="24">
        <f>9*C11/100</f>
        <v>0.45</v>
      </c>
      <c r="M11" s="24">
        <v>0</v>
      </c>
      <c r="N11" s="24">
        <v>0</v>
      </c>
      <c r="O11" s="24">
        <f>5*C11/100</f>
        <v>0.25</v>
      </c>
      <c r="P11" s="75">
        <f>33*C11/100</f>
        <v>1.65</v>
      </c>
      <c r="Q11" s="59"/>
    </row>
    <row r="12" spans="1:17" s="22" customFormat="1" ht="16.5" customHeight="1">
      <c r="A12" s="72" t="s">
        <v>59</v>
      </c>
      <c r="B12" s="20">
        <v>2</v>
      </c>
      <c r="C12" s="20">
        <v>2</v>
      </c>
      <c r="D12" s="20"/>
      <c r="E12" s="23"/>
      <c r="F12" s="3">
        <f>99.9*C12/100</f>
        <v>1.9980000000000002</v>
      </c>
      <c r="G12" s="3"/>
      <c r="H12" s="3"/>
      <c r="I12" s="3"/>
      <c r="J12" s="3"/>
      <c r="K12" s="3"/>
      <c r="L12" s="3"/>
      <c r="M12" s="3"/>
      <c r="N12" s="3"/>
      <c r="O12" s="3"/>
      <c r="P12" s="76">
        <f>899*C12/100</f>
        <v>17.98</v>
      </c>
      <c r="Q12" s="59"/>
    </row>
    <row r="13" spans="1:17" s="22" customFormat="1" ht="16.5" customHeight="1">
      <c r="A13" s="72" t="s">
        <v>48</v>
      </c>
      <c r="B13" s="20">
        <v>5</v>
      </c>
      <c r="C13" s="20">
        <v>5</v>
      </c>
      <c r="D13" s="20"/>
      <c r="E13" s="21">
        <f>1.3*C13/100</f>
        <v>0.065</v>
      </c>
      <c r="F13" s="21">
        <f>72.5*C13/100</f>
        <v>3.625</v>
      </c>
      <c r="G13" s="21">
        <f>0.9*C13/100</f>
        <v>0.045</v>
      </c>
      <c r="H13" s="21">
        <f>24*C13/100</f>
        <v>1.2</v>
      </c>
      <c r="I13" s="21">
        <f>3*C13/100</f>
        <v>0.15</v>
      </c>
      <c r="J13" s="21">
        <f>20*C13/100</f>
        <v>1</v>
      </c>
      <c r="K13" s="21">
        <f>0.2*C13/100</f>
        <v>0.01</v>
      </c>
      <c r="L13" s="21">
        <f>0.4*C13/100</f>
        <v>0.02</v>
      </c>
      <c r="M13" s="21"/>
      <c r="N13" s="21"/>
      <c r="O13" s="21"/>
      <c r="P13" s="73">
        <f>661*C13/100</f>
        <v>33.05</v>
      </c>
      <c r="Q13" s="59"/>
    </row>
    <row r="14" spans="1:17" s="11" customFormat="1" ht="16.5" customHeight="1">
      <c r="A14" s="186" t="s">
        <v>27</v>
      </c>
      <c r="B14" s="187"/>
      <c r="C14" s="188"/>
      <c r="D14" s="10">
        <v>100</v>
      </c>
      <c r="E14" s="16">
        <f>E15+E16+E17</f>
        <v>2.833</v>
      </c>
      <c r="F14" s="16">
        <f aca="true" t="shared" si="1" ref="F14:P14">F15+F16+F17</f>
        <v>4.475</v>
      </c>
      <c r="G14" s="16">
        <f t="shared" si="1"/>
        <v>20.927</v>
      </c>
      <c r="H14" s="16">
        <f t="shared" si="1"/>
        <v>38.769999999999996</v>
      </c>
      <c r="I14" s="16">
        <f t="shared" si="1"/>
        <v>27.32</v>
      </c>
      <c r="J14" s="16">
        <f t="shared" si="1"/>
        <v>82.7</v>
      </c>
      <c r="K14" s="16">
        <f t="shared" si="1"/>
        <v>0.9430000000000001</v>
      </c>
      <c r="L14" s="16">
        <f t="shared" si="1"/>
        <v>0.0475</v>
      </c>
      <c r="M14" s="16">
        <f t="shared" si="1"/>
        <v>0.126</v>
      </c>
      <c r="N14" s="16">
        <f t="shared" si="1"/>
        <v>0.08900000000000001</v>
      </c>
      <c r="O14" s="16">
        <f t="shared" si="1"/>
        <v>20.12</v>
      </c>
      <c r="P14" s="71">
        <f t="shared" si="1"/>
        <v>130.3</v>
      </c>
      <c r="Q14" s="56"/>
    </row>
    <row r="15" spans="1:17" s="22" customFormat="1" ht="16.5" customHeight="1">
      <c r="A15" s="72" t="s">
        <v>49</v>
      </c>
      <c r="B15" s="20">
        <v>140</v>
      </c>
      <c r="C15" s="20">
        <v>100</v>
      </c>
      <c r="D15" s="20"/>
      <c r="E15" s="21">
        <f>2*C15/100</f>
        <v>2</v>
      </c>
      <c r="F15" s="21">
        <f>0.1*C15/100</f>
        <v>0.1</v>
      </c>
      <c r="G15" s="21">
        <f>19.7*C15/100</f>
        <v>19.7</v>
      </c>
      <c r="H15" s="21">
        <f>10*C15/100</f>
        <v>10</v>
      </c>
      <c r="I15" s="21">
        <f>23*C15/100</f>
        <v>23</v>
      </c>
      <c r="J15" s="21">
        <f>58*C15/100</f>
        <v>58</v>
      </c>
      <c r="K15" s="21">
        <f>0.9*C15/100</f>
        <v>0.9</v>
      </c>
      <c r="L15" s="21">
        <f>0.02*C15/100</f>
        <v>0.02</v>
      </c>
      <c r="M15" s="21">
        <f>0.12*C15/100</f>
        <v>0.12</v>
      </c>
      <c r="N15" s="21">
        <f>0.05*C15/100</f>
        <v>0.05</v>
      </c>
      <c r="O15" s="21">
        <f>20*C15/100</f>
        <v>20</v>
      </c>
      <c r="P15" s="73">
        <f>83*C15/100</f>
        <v>83</v>
      </c>
      <c r="Q15" s="59"/>
    </row>
    <row r="16" spans="1:17" s="22" customFormat="1" ht="16.5" customHeight="1">
      <c r="A16" s="72" t="s">
        <v>48</v>
      </c>
      <c r="B16" s="20">
        <v>5</v>
      </c>
      <c r="C16" s="20">
        <v>5</v>
      </c>
      <c r="D16" s="20"/>
      <c r="E16" s="21">
        <f>1.3*C16/100</f>
        <v>0.065</v>
      </c>
      <c r="F16" s="21">
        <f>72.5*C16/100</f>
        <v>3.625</v>
      </c>
      <c r="G16" s="21">
        <f>0.9*C16/100</f>
        <v>0.045</v>
      </c>
      <c r="H16" s="21">
        <f>24*C16/100</f>
        <v>1.2</v>
      </c>
      <c r="I16" s="21">
        <f>3*C16/100</f>
        <v>0.15</v>
      </c>
      <c r="J16" s="21">
        <f>20*C16/100</f>
        <v>1</v>
      </c>
      <c r="K16" s="21">
        <f>0.2*C16/100</f>
        <v>0.01</v>
      </c>
      <c r="L16" s="21">
        <f>0.4*C16/100</f>
        <v>0.02</v>
      </c>
      <c r="M16" s="21"/>
      <c r="N16" s="21"/>
      <c r="O16" s="21"/>
      <c r="P16" s="73">
        <f>661*C16/100</f>
        <v>33.05</v>
      </c>
      <c r="Q16" s="59"/>
    </row>
    <row r="17" spans="1:17" s="22" customFormat="1" ht="16.5" customHeight="1">
      <c r="A17" s="72" t="s">
        <v>50</v>
      </c>
      <c r="B17" s="20">
        <v>3</v>
      </c>
      <c r="C17" s="20">
        <v>3</v>
      </c>
      <c r="D17" s="20"/>
      <c r="E17" s="23">
        <f>25.6*C17/100</f>
        <v>0.7680000000000001</v>
      </c>
      <c r="F17" s="23">
        <f>25*C17/100</f>
        <v>0.75</v>
      </c>
      <c r="G17" s="23">
        <f>39.4*C17/100</f>
        <v>1.182</v>
      </c>
      <c r="H17" s="23">
        <f>919*C17/100</f>
        <v>27.57</v>
      </c>
      <c r="I17" s="23">
        <f>139*C17/100</f>
        <v>4.17</v>
      </c>
      <c r="J17" s="23">
        <f>790*C17/100</f>
        <v>23.7</v>
      </c>
      <c r="K17" s="23">
        <f>1.1*C17/100</f>
        <v>0.033</v>
      </c>
      <c r="L17" s="23">
        <f>0.25*C17/100</f>
        <v>0.0075</v>
      </c>
      <c r="M17" s="23">
        <f>0.2*C17/100</f>
        <v>0.006000000000000001</v>
      </c>
      <c r="N17" s="23">
        <f>1.3*C17/100</f>
        <v>0.03900000000000001</v>
      </c>
      <c r="O17" s="23">
        <f>4*C17/100</f>
        <v>0.12</v>
      </c>
      <c r="P17" s="74">
        <f>475*C17/100</f>
        <v>14.25</v>
      </c>
      <c r="Q17" s="59"/>
    </row>
    <row r="18" spans="1:17" s="11" customFormat="1" ht="16.5" customHeight="1">
      <c r="A18" s="70" t="s">
        <v>55</v>
      </c>
      <c r="B18" s="9">
        <v>50</v>
      </c>
      <c r="C18" s="9">
        <v>50</v>
      </c>
      <c r="D18" s="10">
        <v>50</v>
      </c>
      <c r="E18" s="16">
        <f>2.8*C18/100</f>
        <v>1.4</v>
      </c>
      <c r="F18" s="16"/>
      <c r="G18" s="16">
        <f>1.3*C18/100</f>
        <v>0.65</v>
      </c>
      <c r="H18" s="16">
        <f>25*C18/100</f>
        <v>12.5</v>
      </c>
      <c r="I18" s="16"/>
      <c r="J18" s="16">
        <f>20*C18/100</f>
        <v>10</v>
      </c>
      <c r="K18" s="16">
        <f>1.2*C18/100</f>
        <v>0.6</v>
      </c>
      <c r="L18" s="16"/>
      <c r="M18" s="16"/>
      <c r="N18" s="16"/>
      <c r="O18" s="16"/>
      <c r="P18" s="71">
        <f>19*C18/100</f>
        <v>9.5</v>
      </c>
      <c r="Q18" s="56"/>
    </row>
    <row r="19" spans="1:17" s="11" customFormat="1" ht="16.5" customHeight="1">
      <c r="A19" s="186" t="s">
        <v>15</v>
      </c>
      <c r="B19" s="187"/>
      <c r="C19" s="188"/>
      <c r="D19" s="10">
        <v>200</v>
      </c>
      <c r="E19" s="16">
        <f>E20+E21</f>
        <v>0.614</v>
      </c>
      <c r="F19" s="16">
        <f aca="true" t="shared" si="2" ref="F19:P19">F20+F21</f>
        <v>0</v>
      </c>
      <c r="G19" s="16">
        <f t="shared" si="2"/>
        <v>33.384</v>
      </c>
      <c r="H19" s="16">
        <f t="shared" si="2"/>
        <v>20.799999999999997</v>
      </c>
      <c r="I19" s="16">
        <f t="shared" si="2"/>
        <v>16.8</v>
      </c>
      <c r="J19" s="16">
        <f t="shared" si="2"/>
        <v>22.6</v>
      </c>
      <c r="K19" s="16">
        <f t="shared" si="2"/>
        <v>2.2600000000000002</v>
      </c>
      <c r="L19" s="16">
        <f t="shared" si="2"/>
        <v>0.7</v>
      </c>
      <c r="M19" s="16">
        <f t="shared" si="2"/>
        <v>0.014000000000000002</v>
      </c>
      <c r="N19" s="16">
        <f t="shared" si="2"/>
        <v>0</v>
      </c>
      <c r="O19" s="16">
        <f t="shared" si="2"/>
        <v>0.7</v>
      </c>
      <c r="P19" s="71">
        <f t="shared" si="2"/>
        <v>128.4</v>
      </c>
      <c r="Q19" s="56"/>
    </row>
    <row r="20" spans="1:16" s="25" customFormat="1" ht="16.5" customHeight="1">
      <c r="A20" s="96" t="s">
        <v>54</v>
      </c>
      <c r="B20" s="2">
        <v>20</v>
      </c>
      <c r="C20" s="2">
        <v>20</v>
      </c>
      <c r="D20" s="2"/>
      <c r="E20" s="3">
        <f>3.07*C20/100</f>
        <v>0.614</v>
      </c>
      <c r="F20" s="3"/>
      <c r="G20" s="3">
        <f>67.12*C20/100</f>
        <v>13.424000000000001</v>
      </c>
      <c r="H20" s="3">
        <f>102*C20/100</f>
        <v>20.4</v>
      </c>
      <c r="I20" s="3">
        <f>84*C20/100</f>
        <v>16.8</v>
      </c>
      <c r="J20" s="3">
        <f>113*C20/100</f>
        <v>22.6</v>
      </c>
      <c r="K20" s="3">
        <f>11*C20/100</f>
        <v>2.2</v>
      </c>
      <c r="L20" s="3">
        <f>3.5*C20/100</f>
        <v>0.7</v>
      </c>
      <c r="M20" s="3">
        <f>0.07*C20/100</f>
        <v>0.014000000000000002</v>
      </c>
      <c r="N20" s="3"/>
      <c r="O20" s="3">
        <f>3.5*C20/100</f>
        <v>0.7</v>
      </c>
      <c r="P20" s="76">
        <f>268*C20/100</f>
        <v>53.6</v>
      </c>
    </row>
    <row r="21" spans="1:16" s="25" customFormat="1" ht="16.5" customHeight="1">
      <c r="A21" s="96" t="s">
        <v>53</v>
      </c>
      <c r="B21" s="2">
        <v>20</v>
      </c>
      <c r="C21" s="2">
        <v>20</v>
      </c>
      <c r="D21" s="2"/>
      <c r="E21" s="3"/>
      <c r="F21" s="3"/>
      <c r="G21" s="3">
        <f>99.8*C21/100</f>
        <v>19.96</v>
      </c>
      <c r="H21" s="3">
        <f>2*C21/100</f>
        <v>0.4</v>
      </c>
      <c r="I21" s="3"/>
      <c r="J21" s="3"/>
      <c r="K21" s="3">
        <f>0.3*C21/100</f>
        <v>0.06</v>
      </c>
      <c r="L21" s="3"/>
      <c r="M21" s="3"/>
      <c r="N21" s="3"/>
      <c r="O21" s="3"/>
      <c r="P21" s="76">
        <f>374*C21/100</f>
        <v>74.8</v>
      </c>
    </row>
    <row r="22" spans="1:17" s="11" customFormat="1" ht="16.5" customHeight="1">
      <c r="A22" s="70" t="s">
        <v>16</v>
      </c>
      <c r="B22" s="9">
        <v>40</v>
      </c>
      <c r="C22" s="9">
        <v>40</v>
      </c>
      <c r="D22" s="10">
        <v>40</v>
      </c>
      <c r="E22" s="16">
        <f>7.6*C22/100</f>
        <v>3.04</v>
      </c>
      <c r="F22" s="16">
        <f>0.6*C22/100</f>
        <v>0.24</v>
      </c>
      <c r="G22" s="16">
        <f>52.3*C22/100</f>
        <v>20.92</v>
      </c>
      <c r="H22" s="16">
        <f>20*C22/100</f>
        <v>8</v>
      </c>
      <c r="I22" s="16">
        <f>14*C22/100</f>
        <v>5.6</v>
      </c>
      <c r="J22" s="16">
        <f>65*C22/100</f>
        <v>26</v>
      </c>
      <c r="K22" s="16">
        <f>0.9*C22/100</f>
        <v>0.36</v>
      </c>
      <c r="L22" s="16">
        <v>0</v>
      </c>
      <c r="M22" s="16">
        <f>0.11*C22/100</f>
        <v>0.044000000000000004</v>
      </c>
      <c r="N22" s="16">
        <f>0.06*C22/100</f>
        <v>0.024</v>
      </c>
      <c r="O22" s="16">
        <v>0</v>
      </c>
      <c r="P22" s="71">
        <f>233*C22/100</f>
        <v>93.2</v>
      </c>
      <c r="Q22" s="56"/>
    </row>
    <row r="23" spans="1:17" s="11" customFormat="1" ht="16.5" customHeight="1">
      <c r="A23" s="70" t="s">
        <v>17</v>
      </c>
      <c r="B23" s="9">
        <v>25</v>
      </c>
      <c r="C23" s="9">
        <v>25</v>
      </c>
      <c r="D23" s="10">
        <v>25</v>
      </c>
      <c r="E23" s="16">
        <f>6.5*C23/100</f>
        <v>1.625</v>
      </c>
      <c r="F23" s="16">
        <f>1*C23/100</f>
        <v>0.25</v>
      </c>
      <c r="G23" s="16">
        <f>40.1*C23/100</f>
        <v>10.025</v>
      </c>
      <c r="H23" s="16">
        <f>38*C23/100</f>
        <v>9.5</v>
      </c>
      <c r="I23" s="16">
        <f>49*C23/100</f>
        <v>12.25</v>
      </c>
      <c r="J23" s="16">
        <f>156*C23/100</f>
        <v>39</v>
      </c>
      <c r="K23" s="16">
        <f>2.6*C23/100</f>
        <v>0.65</v>
      </c>
      <c r="L23" s="16">
        <v>0</v>
      </c>
      <c r="M23" s="16">
        <f>0.18*C23/100</f>
        <v>0.045</v>
      </c>
      <c r="N23" s="16">
        <f>0.11*C23/100</f>
        <v>0.0275</v>
      </c>
      <c r="O23" s="16">
        <v>0</v>
      </c>
      <c r="P23" s="71">
        <f>190*C23/100</f>
        <v>47.5</v>
      </c>
      <c r="Q23" s="56"/>
    </row>
    <row r="24" spans="1:17" s="5" customFormat="1" ht="33" customHeight="1" thickBot="1">
      <c r="A24" s="89" t="s">
        <v>18</v>
      </c>
      <c r="B24" s="90"/>
      <c r="C24" s="90"/>
      <c r="D24" s="90"/>
      <c r="E24" s="90">
        <f>E8+E14+E18+E19+E22+E23</f>
        <v>22.31</v>
      </c>
      <c r="F24" s="90">
        <f aca="true" t="shared" si="3" ref="F24:P24">F8+F14+F18+F19+F22+F23</f>
        <v>14.788</v>
      </c>
      <c r="G24" s="90">
        <f t="shared" si="3"/>
        <v>86.68100000000001</v>
      </c>
      <c r="H24" s="90">
        <f t="shared" si="3"/>
        <v>123.36</v>
      </c>
      <c r="I24" s="90">
        <f t="shared" si="3"/>
        <v>90.97999999999999</v>
      </c>
      <c r="J24" s="90">
        <f t="shared" si="3"/>
        <v>186.37</v>
      </c>
      <c r="K24" s="90">
        <f t="shared" si="3"/>
        <v>6.655000000000001</v>
      </c>
      <c r="L24" s="90">
        <f t="shared" si="3"/>
        <v>1.2355</v>
      </c>
      <c r="M24" s="90">
        <f t="shared" si="3"/>
        <v>0.265</v>
      </c>
      <c r="N24" s="90">
        <f t="shared" si="3"/>
        <v>0.2245</v>
      </c>
      <c r="O24" s="90">
        <f t="shared" si="3"/>
        <v>21.47</v>
      </c>
      <c r="P24" s="91">
        <f t="shared" si="3"/>
        <v>551.5</v>
      </c>
      <c r="Q24" s="57"/>
    </row>
    <row r="25" spans="1:17" ht="16.5" customHeight="1">
      <c r="A25" s="65" t="s">
        <v>19</v>
      </c>
      <c r="B25" s="101"/>
      <c r="C25" s="101"/>
      <c r="D25" s="93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9"/>
      <c r="Q25" s="55"/>
    </row>
    <row r="26" spans="1:17" s="19" customFormat="1" ht="16.5" customHeight="1">
      <c r="A26" s="203" t="s">
        <v>0</v>
      </c>
      <c r="B26" s="185" t="s">
        <v>40</v>
      </c>
      <c r="C26" s="185" t="s">
        <v>41</v>
      </c>
      <c r="D26" s="213" t="s">
        <v>42</v>
      </c>
      <c r="E26" s="189" t="s">
        <v>1</v>
      </c>
      <c r="F26" s="189"/>
      <c r="G26" s="189"/>
      <c r="H26" s="189" t="s">
        <v>3</v>
      </c>
      <c r="I26" s="189"/>
      <c r="J26" s="189"/>
      <c r="K26" s="189"/>
      <c r="L26" s="206" t="s">
        <v>2</v>
      </c>
      <c r="M26" s="207"/>
      <c r="N26" s="207"/>
      <c r="O26" s="207"/>
      <c r="P26" s="210" t="s">
        <v>43</v>
      </c>
      <c r="Q26" s="58"/>
    </row>
    <row r="27" spans="1:17" s="19" customFormat="1" ht="16.5" customHeight="1">
      <c r="A27" s="204"/>
      <c r="B27" s="185"/>
      <c r="C27" s="185"/>
      <c r="D27" s="214"/>
      <c r="E27" s="189"/>
      <c r="F27" s="189"/>
      <c r="G27" s="189"/>
      <c r="H27" s="189" t="s">
        <v>4</v>
      </c>
      <c r="I27" s="189"/>
      <c r="J27" s="189"/>
      <c r="K27" s="189"/>
      <c r="L27" s="208"/>
      <c r="M27" s="209"/>
      <c r="N27" s="209"/>
      <c r="O27" s="209"/>
      <c r="P27" s="211"/>
      <c r="Q27" s="58"/>
    </row>
    <row r="28" spans="1:17" s="19" customFormat="1" ht="16.5" customHeight="1">
      <c r="A28" s="205"/>
      <c r="B28" s="185"/>
      <c r="C28" s="185"/>
      <c r="D28" s="215"/>
      <c r="E28" s="18" t="s">
        <v>5</v>
      </c>
      <c r="F28" s="18" t="s">
        <v>6</v>
      </c>
      <c r="G28" s="18" t="s">
        <v>7</v>
      </c>
      <c r="H28" s="18" t="s">
        <v>10</v>
      </c>
      <c r="I28" s="18" t="s">
        <v>12</v>
      </c>
      <c r="J28" s="18" t="s">
        <v>11</v>
      </c>
      <c r="K28" s="18" t="s">
        <v>13</v>
      </c>
      <c r="L28" s="18" t="s">
        <v>9</v>
      </c>
      <c r="M28" s="18" t="s">
        <v>51</v>
      </c>
      <c r="N28" s="18" t="s">
        <v>52</v>
      </c>
      <c r="O28" s="18" t="s">
        <v>8</v>
      </c>
      <c r="P28" s="212"/>
      <c r="Q28" s="58"/>
    </row>
    <row r="29" spans="1:17" s="11" customFormat="1" ht="16.5" customHeight="1">
      <c r="A29" s="186" t="s">
        <v>56</v>
      </c>
      <c r="B29" s="187"/>
      <c r="C29" s="188"/>
      <c r="D29" s="10">
        <v>250</v>
      </c>
      <c r="E29" s="16">
        <f>E30+E31+E32+E33+E34+E35+E36+E37+E38</f>
        <v>2.425</v>
      </c>
      <c r="F29" s="16">
        <f aca="true" t="shared" si="4" ref="F29:P29">F30+F31+F32+F33+F34+F35+F36+F37+F38</f>
        <v>7.019</v>
      </c>
      <c r="G29" s="16">
        <f t="shared" si="4"/>
        <v>15.346000000000002</v>
      </c>
      <c r="H29" s="16">
        <f t="shared" si="4"/>
        <v>47.309999999999995</v>
      </c>
      <c r="I29" s="16">
        <f t="shared" si="4"/>
        <v>33.919999999999995</v>
      </c>
      <c r="J29" s="16">
        <f t="shared" si="4"/>
        <v>62.029999999999994</v>
      </c>
      <c r="K29" s="16">
        <f t="shared" si="4"/>
        <v>1.406</v>
      </c>
      <c r="L29" s="16">
        <f t="shared" si="4"/>
        <v>1.3197999999999996</v>
      </c>
      <c r="M29" s="16">
        <f t="shared" si="4"/>
        <v>0.0408</v>
      </c>
      <c r="N29" s="16">
        <f t="shared" si="4"/>
        <v>0.033</v>
      </c>
      <c r="O29" s="16">
        <f t="shared" si="4"/>
        <v>22.5</v>
      </c>
      <c r="P29" s="71">
        <f t="shared" si="4"/>
        <v>131.71</v>
      </c>
      <c r="Q29" s="56"/>
    </row>
    <row r="30" spans="1:17" s="22" customFormat="1" ht="16.5" customHeight="1">
      <c r="A30" s="72" t="s">
        <v>49</v>
      </c>
      <c r="B30" s="20">
        <v>33</v>
      </c>
      <c r="C30" s="20">
        <v>24</v>
      </c>
      <c r="D30" s="20"/>
      <c r="E30" s="21">
        <f>2*C30/100</f>
        <v>0.48</v>
      </c>
      <c r="F30" s="21">
        <f>0.1*C30/100</f>
        <v>0.024000000000000004</v>
      </c>
      <c r="G30" s="21">
        <f>19.7*C30/100</f>
        <v>4.728</v>
      </c>
      <c r="H30" s="21">
        <f>10*C30/100</f>
        <v>2.4</v>
      </c>
      <c r="I30" s="21">
        <f>23*C30/100</f>
        <v>5.52</v>
      </c>
      <c r="J30" s="21">
        <f>58*C30/100</f>
        <v>13.92</v>
      </c>
      <c r="K30" s="21">
        <f>0.9*C30/100</f>
        <v>0.21600000000000003</v>
      </c>
      <c r="L30" s="21">
        <f>0.02*C30/100</f>
        <v>0.0048</v>
      </c>
      <c r="M30" s="21">
        <f>0.12*C30/100</f>
        <v>0.0288</v>
      </c>
      <c r="N30" s="21">
        <f>0.05*C30/100</f>
        <v>0.012000000000000002</v>
      </c>
      <c r="O30" s="21">
        <f>20*C30/100</f>
        <v>4.8</v>
      </c>
      <c r="P30" s="73">
        <f>83*C30/100</f>
        <v>19.92</v>
      </c>
      <c r="Q30" s="59"/>
    </row>
    <row r="31" spans="1:17" s="22" customFormat="1" ht="16.5" customHeight="1">
      <c r="A31" s="72" t="s">
        <v>57</v>
      </c>
      <c r="B31" s="20">
        <v>25</v>
      </c>
      <c r="C31" s="20">
        <v>20</v>
      </c>
      <c r="D31" s="20"/>
      <c r="E31" s="24">
        <f>1.8*C31/100</f>
        <v>0.36</v>
      </c>
      <c r="F31" s="24"/>
      <c r="G31" s="24">
        <f>5.4*C31/100</f>
        <v>1.08</v>
      </c>
      <c r="H31" s="24">
        <f>48*C31/100</f>
        <v>9.6</v>
      </c>
      <c r="I31" s="24">
        <f>16*C31/100</f>
        <v>3.2</v>
      </c>
      <c r="J31" s="24">
        <f>31*C31/100</f>
        <v>6.2</v>
      </c>
      <c r="K31" s="24">
        <f>1*C31/100</f>
        <v>0.2</v>
      </c>
      <c r="L31" s="24">
        <f>0.02*C31/100</f>
        <v>0.004</v>
      </c>
      <c r="M31" s="24">
        <f>0.06*C31/100</f>
        <v>0.012</v>
      </c>
      <c r="N31" s="24">
        <f>0.05*C31/100</f>
        <v>0.01</v>
      </c>
      <c r="O31" s="24">
        <f>50*C31/100</f>
        <v>10</v>
      </c>
      <c r="P31" s="75">
        <f>28*C31/100</f>
        <v>5.6</v>
      </c>
      <c r="Q31" s="59"/>
    </row>
    <row r="32" spans="1:17" s="22" customFormat="1" ht="16.5" customHeight="1">
      <c r="A32" s="72" t="s">
        <v>46</v>
      </c>
      <c r="B32" s="20">
        <v>12</v>
      </c>
      <c r="C32" s="20">
        <v>10</v>
      </c>
      <c r="D32" s="20"/>
      <c r="E32" s="23">
        <f>1.7*C32/100</f>
        <v>0.17</v>
      </c>
      <c r="F32" s="23">
        <v>0</v>
      </c>
      <c r="G32" s="23">
        <f>9.5*C32/100</f>
        <v>0.95</v>
      </c>
      <c r="H32" s="23">
        <f>31*C32/100</f>
        <v>3.1</v>
      </c>
      <c r="I32" s="23">
        <f>14*C32/100</f>
        <v>1.4</v>
      </c>
      <c r="J32" s="23">
        <f>58*C32/100</f>
        <v>5.8</v>
      </c>
      <c r="K32" s="23">
        <f>0.8*C32/100</f>
        <v>0.08</v>
      </c>
      <c r="L32" s="23">
        <v>0</v>
      </c>
      <c r="M32" s="23">
        <v>0</v>
      </c>
      <c r="N32" s="23">
        <v>0</v>
      </c>
      <c r="O32" s="23">
        <f>10*C32/100</f>
        <v>1</v>
      </c>
      <c r="P32" s="74">
        <f>43*C32/100</f>
        <v>4.3</v>
      </c>
      <c r="Q32" s="59"/>
    </row>
    <row r="33" spans="1:17" s="22" customFormat="1" ht="16.5" customHeight="1">
      <c r="A33" s="72" t="s">
        <v>47</v>
      </c>
      <c r="B33" s="20">
        <v>16</v>
      </c>
      <c r="C33" s="20">
        <v>13</v>
      </c>
      <c r="D33" s="20"/>
      <c r="E33" s="24">
        <f>1.3*C33/100</f>
        <v>0.169</v>
      </c>
      <c r="F33" s="24"/>
      <c r="G33" s="24">
        <f>7*C33/100</f>
        <v>0.91</v>
      </c>
      <c r="H33" s="24">
        <f>51*C33/100</f>
        <v>6.63</v>
      </c>
      <c r="I33" s="24">
        <f>38*C33/100</f>
        <v>4.94</v>
      </c>
      <c r="J33" s="24">
        <f>55*C33/100</f>
        <v>7.15</v>
      </c>
      <c r="K33" s="24">
        <f>1.2*C33/100</f>
        <v>0.156</v>
      </c>
      <c r="L33" s="24">
        <f>9*C33/100</f>
        <v>1.17</v>
      </c>
      <c r="M33" s="24">
        <v>0</v>
      </c>
      <c r="N33" s="24">
        <v>0</v>
      </c>
      <c r="O33" s="24">
        <f>5*C33/100</f>
        <v>0.65</v>
      </c>
      <c r="P33" s="75">
        <f>33*C33/100</f>
        <v>4.29</v>
      </c>
      <c r="Q33" s="59"/>
    </row>
    <row r="34" spans="1:17" s="22" customFormat="1" ht="16.5" customHeight="1">
      <c r="A34" s="72" t="s">
        <v>58</v>
      </c>
      <c r="B34" s="20">
        <v>53</v>
      </c>
      <c r="C34" s="20">
        <v>42</v>
      </c>
      <c r="D34" s="20"/>
      <c r="E34" s="26">
        <f>1.7*C34/100</f>
        <v>0.714</v>
      </c>
      <c r="F34" s="26"/>
      <c r="G34" s="26">
        <f>10.8*C34/100</f>
        <v>4.5360000000000005</v>
      </c>
      <c r="H34" s="26">
        <f>37*C34/100</f>
        <v>15.54</v>
      </c>
      <c r="I34" s="26">
        <f>43*C34/100</f>
        <v>18.06</v>
      </c>
      <c r="J34" s="26">
        <f>43*C34/100</f>
        <v>18.06</v>
      </c>
      <c r="K34" s="26">
        <f>1.4*C34/100</f>
        <v>0.588</v>
      </c>
      <c r="L34" s="26"/>
      <c r="M34" s="26"/>
      <c r="N34" s="26"/>
      <c r="O34" s="26">
        <f>10*C34/100</f>
        <v>4.2</v>
      </c>
      <c r="P34" s="102">
        <f>48*C34/100</f>
        <v>20.16</v>
      </c>
      <c r="Q34" s="59"/>
    </row>
    <row r="35" spans="1:17" s="22" customFormat="1" ht="16.5" customHeight="1">
      <c r="A35" s="72" t="s">
        <v>59</v>
      </c>
      <c r="B35" s="20">
        <v>5</v>
      </c>
      <c r="C35" s="20">
        <v>5</v>
      </c>
      <c r="D35" s="20"/>
      <c r="E35" s="23"/>
      <c r="F35" s="3">
        <f>99.9*C35/100</f>
        <v>4.995</v>
      </c>
      <c r="G35" s="3"/>
      <c r="H35" s="3"/>
      <c r="I35" s="3"/>
      <c r="J35" s="3"/>
      <c r="K35" s="3"/>
      <c r="L35" s="3"/>
      <c r="M35" s="3"/>
      <c r="N35" s="3"/>
      <c r="O35" s="3"/>
      <c r="P35" s="76">
        <f>899*C35/100</f>
        <v>44.95</v>
      </c>
      <c r="Q35" s="59"/>
    </row>
    <row r="36" spans="1:17" s="22" customFormat="1" ht="16.5" customHeight="1">
      <c r="A36" s="72" t="s">
        <v>60</v>
      </c>
      <c r="B36" s="20">
        <v>7</v>
      </c>
      <c r="C36" s="20">
        <v>7</v>
      </c>
      <c r="D36" s="20"/>
      <c r="E36" s="21">
        <f>3.6*C36/100</f>
        <v>0.252</v>
      </c>
      <c r="F36" s="21"/>
      <c r="G36" s="21">
        <f>11.8*C36/100</f>
        <v>0.8260000000000001</v>
      </c>
      <c r="H36" s="21">
        <f>20*C36/100</f>
        <v>1.4</v>
      </c>
      <c r="I36" s="21"/>
      <c r="J36" s="21">
        <f>70*C36/100</f>
        <v>4.9</v>
      </c>
      <c r="K36" s="21">
        <f>2*C36/100</f>
        <v>0.14</v>
      </c>
      <c r="L36" s="21">
        <f>1.8*C36/100</f>
        <v>0.126</v>
      </c>
      <c r="M36" s="21"/>
      <c r="N36" s="21"/>
      <c r="O36" s="21">
        <f>26*C36/100</f>
        <v>1.82</v>
      </c>
      <c r="P36" s="73">
        <f>63*C36/100</f>
        <v>4.41</v>
      </c>
      <c r="Q36" s="59"/>
    </row>
    <row r="37" spans="1:17" s="22" customFormat="1" ht="16.5" customHeight="1">
      <c r="A37" s="72" t="s">
        <v>61</v>
      </c>
      <c r="B37" s="20">
        <v>10</v>
      </c>
      <c r="C37" s="20">
        <v>10</v>
      </c>
      <c r="D37" s="20"/>
      <c r="E37" s="3">
        <f>2.8*C37/100</f>
        <v>0.28</v>
      </c>
      <c r="F37" s="3">
        <f>20*C37/100</f>
        <v>2</v>
      </c>
      <c r="G37" s="3">
        <f>3.2*C37/100</f>
        <v>0.32</v>
      </c>
      <c r="H37" s="3">
        <f>86*C37/100</f>
        <v>8.6</v>
      </c>
      <c r="I37" s="3">
        <f>8*C37/100</f>
        <v>0.8</v>
      </c>
      <c r="J37" s="3">
        <f>60*C37/100</f>
        <v>6</v>
      </c>
      <c r="K37" s="3">
        <f>0.2*C37/100</f>
        <v>0.02</v>
      </c>
      <c r="L37" s="3">
        <f>0.15*C37/100</f>
        <v>0.015</v>
      </c>
      <c r="M37" s="3"/>
      <c r="N37" s="3">
        <f>0.11*C37/100</f>
        <v>0.011000000000000001</v>
      </c>
      <c r="O37" s="3">
        <f>0.3*C37/100</f>
        <v>0.03</v>
      </c>
      <c r="P37" s="76">
        <f>206*C37/100</f>
        <v>20.6</v>
      </c>
      <c r="Q37" s="59"/>
    </row>
    <row r="38" spans="1:17" s="22" customFormat="1" ht="16.5" customHeight="1">
      <c r="A38" s="72" t="s">
        <v>53</v>
      </c>
      <c r="B38" s="20">
        <v>2</v>
      </c>
      <c r="C38" s="20">
        <v>2</v>
      </c>
      <c r="D38" s="20"/>
      <c r="E38" s="23"/>
      <c r="F38" s="23"/>
      <c r="G38" s="3">
        <f>99.8*C38/100</f>
        <v>1.996</v>
      </c>
      <c r="H38" s="3">
        <f>2*C38/100</f>
        <v>0.04</v>
      </c>
      <c r="I38" s="3"/>
      <c r="J38" s="3"/>
      <c r="K38" s="3">
        <f>0.3*C38/100</f>
        <v>0.006</v>
      </c>
      <c r="L38" s="3"/>
      <c r="M38" s="3"/>
      <c r="N38" s="3"/>
      <c r="O38" s="3"/>
      <c r="P38" s="76">
        <f>374*C38/100</f>
        <v>7.48</v>
      </c>
      <c r="Q38" s="59"/>
    </row>
    <row r="39" spans="1:17" s="11" customFormat="1" ht="16.5" customHeight="1">
      <c r="A39" s="186" t="s">
        <v>20</v>
      </c>
      <c r="B39" s="187"/>
      <c r="C39" s="188"/>
      <c r="D39" s="10">
        <v>180</v>
      </c>
      <c r="E39" s="16">
        <f>E40+E41</f>
        <v>10.549</v>
      </c>
      <c r="F39" s="16">
        <f aca="true" t="shared" si="5" ref="F39:P39">F40+F41</f>
        <v>7.2330000000000005</v>
      </c>
      <c r="G39" s="16">
        <f t="shared" si="5"/>
        <v>56.503</v>
      </c>
      <c r="H39" s="16">
        <f t="shared" si="5"/>
        <v>59.78</v>
      </c>
      <c r="I39" s="16">
        <f t="shared" si="5"/>
        <v>81.55</v>
      </c>
      <c r="J39" s="16">
        <f t="shared" si="5"/>
        <v>248.74</v>
      </c>
      <c r="K39" s="16">
        <f t="shared" si="5"/>
        <v>6.654</v>
      </c>
      <c r="L39" s="16">
        <f t="shared" si="5"/>
        <v>0.028000000000000004</v>
      </c>
      <c r="M39" s="16">
        <f t="shared" si="5"/>
        <v>0.4399</v>
      </c>
      <c r="N39" s="16">
        <f t="shared" si="5"/>
        <v>0.166</v>
      </c>
      <c r="O39" s="16">
        <f t="shared" si="5"/>
        <v>0</v>
      </c>
      <c r="P39" s="71">
        <f t="shared" si="5"/>
        <v>319.34</v>
      </c>
      <c r="Q39" s="56"/>
    </row>
    <row r="40" spans="1:16" s="27" customFormat="1" ht="16.5" customHeight="1">
      <c r="A40" s="96" t="s">
        <v>62</v>
      </c>
      <c r="B40" s="2">
        <v>85</v>
      </c>
      <c r="C40" s="2">
        <v>83</v>
      </c>
      <c r="D40" s="1"/>
      <c r="E40" s="3">
        <f>12.6*C40/100</f>
        <v>10.458</v>
      </c>
      <c r="F40" s="3">
        <f>2.6*C40/100</f>
        <v>2.158</v>
      </c>
      <c r="G40" s="3">
        <f>68*C40/100</f>
        <v>56.44</v>
      </c>
      <c r="H40" s="3">
        <f>70*C40/100</f>
        <v>58.1</v>
      </c>
      <c r="I40" s="3">
        <f>98*C40/100</f>
        <v>81.34</v>
      </c>
      <c r="J40" s="3">
        <f>298*C40/100</f>
        <v>247.34</v>
      </c>
      <c r="K40" s="3">
        <f>8*C40/100</f>
        <v>6.64</v>
      </c>
      <c r="L40" s="3"/>
      <c r="M40" s="3">
        <f>0.53*C40/100</f>
        <v>0.4399</v>
      </c>
      <c r="N40" s="3">
        <f>0.2*C40/100</f>
        <v>0.166</v>
      </c>
      <c r="O40" s="3"/>
      <c r="P40" s="76">
        <f>329*C40/100</f>
        <v>273.07</v>
      </c>
    </row>
    <row r="41" spans="1:16" s="27" customFormat="1" ht="16.5" customHeight="1">
      <c r="A41" s="96" t="s">
        <v>63</v>
      </c>
      <c r="B41" s="2">
        <v>7</v>
      </c>
      <c r="C41" s="2">
        <v>7</v>
      </c>
      <c r="D41" s="1"/>
      <c r="E41" s="3">
        <f>1.3*C41/100</f>
        <v>0.091</v>
      </c>
      <c r="F41" s="3">
        <f>72.5*C41/100</f>
        <v>5.075</v>
      </c>
      <c r="G41" s="3">
        <f>0.9*C41/100</f>
        <v>0.063</v>
      </c>
      <c r="H41" s="3">
        <f>24*C41/100</f>
        <v>1.68</v>
      </c>
      <c r="I41" s="3">
        <f>3*C41/100</f>
        <v>0.21</v>
      </c>
      <c r="J41" s="3">
        <f>20*C41/100</f>
        <v>1.4</v>
      </c>
      <c r="K41" s="3">
        <f>0.2*C41/100</f>
        <v>0.014000000000000002</v>
      </c>
      <c r="L41" s="3">
        <f>0.4*C41/100</f>
        <v>0.028000000000000004</v>
      </c>
      <c r="M41" s="3"/>
      <c r="N41" s="3"/>
      <c r="O41" s="3"/>
      <c r="P41" s="76">
        <f>661*C41/100</f>
        <v>46.27</v>
      </c>
    </row>
    <row r="42" spans="1:17" s="11" customFormat="1" ht="16.5" customHeight="1">
      <c r="A42" s="186" t="s">
        <v>21</v>
      </c>
      <c r="B42" s="187"/>
      <c r="C42" s="188"/>
      <c r="D42" s="10">
        <v>100</v>
      </c>
      <c r="E42" s="16">
        <f>E43+E44+E45+E46+E47+E48</f>
        <v>19.101</v>
      </c>
      <c r="F42" s="16">
        <f aca="true" t="shared" si="6" ref="F42:P42">F43+F44+F45+F46+F47+F48</f>
        <v>17.217000000000002</v>
      </c>
      <c r="G42" s="16">
        <f t="shared" si="6"/>
        <v>17.639</v>
      </c>
      <c r="H42" s="16">
        <f t="shared" si="6"/>
        <v>9.08</v>
      </c>
      <c r="I42" s="16">
        <f t="shared" si="6"/>
        <v>5.390000000000001</v>
      </c>
      <c r="J42" s="16">
        <f t="shared" si="6"/>
        <v>25.939999999999998</v>
      </c>
      <c r="K42" s="16">
        <f t="shared" si="6"/>
        <v>0.356</v>
      </c>
      <c r="L42" s="16">
        <f t="shared" si="6"/>
        <v>0.02</v>
      </c>
      <c r="M42" s="16">
        <f t="shared" si="6"/>
        <v>0.0368</v>
      </c>
      <c r="N42" s="16">
        <f t="shared" si="6"/>
        <v>0.0108</v>
      </c>
      <c r="O42" s="16">
        <f t="shared" si="6"/>
        <v>0.8</v>
      </c>
      <c r="P42" s="71">
        <f t="shared" si="6"/>
        <v>299.01</v>
      </c>
      <c r="Q42" s="56"/>
    </row>
    <row r="43" spans="1:17" s="28" customFormat="1" ht="16.5" customHeight="1">
      <c r="A43" s="72" t="s">
        <v>85</v>
      </c>
      <c r="B43" s="20">
        <v>75</v>
      </c>
      <c r="C43" s="20">
        <v>74</v>
      </c>
      <c r="D43" s="20"/>
      <c r="E43" s="23">
        <f>22.3*C43/100</f>
        <v>16.502</v>
      </c>
      <c r="F43" s="23">
        <f>10*C43/100</f>
        <v>7.4</v>
      </c>
      <c r="G43" s="23"/>
      <c r="H43" s="23"/>
      <c r="I43" s="23"/>
      <c r="J43" s="23"/>
      <c r="K43" s="23"/>
      <c r="L43" s="23"/>
      <c r="M43" s="23"/>
      <c r="N43" s="23"/>
      <c r="O43" s="23"/>
      <c r="P43" s="74">
        <f>181*C43/100</f>
        <v>133.94</v>
      </c>
      <c r="Q43" s="60"/>
    </row>
    <row r="44" spans="1:17" s="28" customFormat="1" ht="16.5" customHeight="1">
      <c r="A44" s="72" t="s">
        <v>64</v>
      </c>
      <c r="B44" s="20">
        <v>10</v>
      </c>
      <c r="C44" s="20">
        <v>10</v>
      </c>
      <c r="D44" s="20"/>
      <c r="E44" s="3">
        <f>10.3*C44/100</f>
        <v>1.03</v>
      </c>
      <c r="F44" s="3">
        <f>0.9*C44/100</f>
        <v>0.09</v>
      </c>
      <c r="G44" s="3">
        <f>74.2*C44/100</f>
        <v>7.42</v>
      </c>
      <c r="H44" s="3">
        <f>18*C44/100</f>
        <v>1.8</v>
      </c>
      <c r="I44" s="3">
        <f>16*C44/100</f>
        <v>1.6</v>
      </c>
      <c r="J44" s="3">
        <f>86*C44/100</f>
        <v>8.6</v>
      </c>
      <c r="K44" s="3">
        <f>1.2*C44/100</f>
        <v>0.12</v>
      </c>
      <c r="L44" s="3"/>
      <c r="M44" s="3">
        <f>0.17*C44/100</f>
        <v>0.017</v>
      </c>
      <c r="N44" s="3"/>
      <c r="O44" s="3"/>
      <c r="P44" s="76">
        <f>327*C44/100</f>
        <v>32.7</v>
      </c>
      <c r="Q44" s="60"/>
    </row>
    <row r="45" spans="1:17" s="28" customFormat="1" ht="16.5" customHeight="1">
      <c r="A45" s="96" t="s">
        <v>63</v>
      </c>
      <c r="B45" s="20">
        <v>5</v>
      </c>
      <c r="C45" s="20">
        <v>5</v>
      </c>
      <c r="D45" s="20"/>
      <c r="E45" s="3">
        <f>1.3*C45/100</f>
        <v>0.065</v>
      </c>
      <c r="F45" s="3">
        <f>72.5*C45/100</f>
        <v>3.625</v>
      </c>
      <c r="G45" s="3">
        <f>0.9*C45/100</f>
        <v>0.045</v>
      </c>
      <c r="H45" s="3">
        <f>24*C45/100</f>
        <v>1.2</v>
      </c>
      <c r="I45" s="3">
        <f>3*C45/100</f>
        <v>0.15</v>
      </c>
      <c r="J45" s="3">
        <f>20*C45/100</f>
        <v>1</v>
      </c>
      <c r="K45" s="3">
        <f>0.2*C45/100</f>
        <v>0.01</v>
      </c>
      <c r="L45" s="3">
        <f>0.4*C45/100</f>
        <v>0.02</v>
      </c>
      <c r="M45" s="3"/>
      <c r="N45" s="3"/>
      <c r="O45" s="3"/>
      <c r="P45" s="76">
        <f>661*C45/100</f>
        <v>33.05</v>
      </c>
      <c r="Q45" s="60"/>
    </row>
    <row r="46" spans="1:17" s="28" customFormat="1" ht="16.5" customHeight="1">
      <c r="A46" s="96" t="s">
        <v>46</v>
      </c>
      <c r="B46" s="20">
        <v>10</v>
      </c>
      <c r="C46" s="20">
        <v>8</v>
      </c>
      <c r="D46" s="20"/>
      <c r="E46" s="23">
        <f>1.7*C46/100</f>
        <v>0.136</v>
      </c>
      <c r="F46" s="23">
        <v>0</v>
      </c>
      <c r="G46" s="23">
        <f>9.5*C46/100</f>
        <v>0.76</v>
      </c>
      <c r="H46" s="23">
        <f>31*C46/100</f>
        <v>2.48</v>
      </c>
      <c r="I46" s="23">
        <f>14*C46/100</f>
        <v>1.12</v>
      </c>
      <c r="J46" s="23">
        <f>58*C46/100</f>
        <v>4.64</v>
      </c>
      <c r="K46" s="23">
        <f>0.8*C46/100</f>
        <v>0.064</v>
      </c>
      <c r="L46" s="23">
        <v>0</v>
      </c>
      <c r="M46" s="23">
        <v>0</v>
      </c>
      <c r="N46" s="23">
        <v>0</v>
      </c>
      <c r="O46" s="23">
        <f>10*C46/100</f>
        <v>0.8</v>
      </c>
      <c r="P46" s="74">
        <f>43*C46/100</f>
        <v>3.44</v>
      </c>
      <c r="Q46" s="60"/>
    </row>
    <row r="47" spans="1:17" s="28" customFormat="1" ht="16.5" customHeight="1">
      <c r="A47" s="96" t="s">
        <v>65</v>
      </c>
      <c r="B47" s="20">
        <v>18</v>
      </c>
      <c r="C47" s="20">
        <v>18</v>
      </c>
      <c r="D47" s="20"/>
      <c r="E47" s="23">
        <f>7.6*C47/100</f>
        <v>1.3679999999999999</v>
      </c>
      <c r="F47" s="23">
        <f>0.6*C47/100</f>
        <v>0.10799999999999998</v>
      </c>
      <c r="G47" s="23">
        <f>52.3*C47/100</f>
        <v>9.414</v>
      </c>
      <c r="H47" s="23">
        <f>20*C47/100</f>
        <v>3.6</v>
      </c>
      <c r="I47" s="23">
        <f>14*C47/100</f>
        <v>2.52</v>
      </c>
      <c r="J47" s="23">
        <f>65*C47/100</f>
        <v>11.7</v>
      </c>
      <c r="K47" s="23">
        <f>0.9*C47/100</f>
        <v>0.162</v>
      </c>
      <c r="L47" s="23">
        <v>0</v>
      </c>
      <c r="M47" s="23">
        <f>0.11*C47/100</f>
        <v>0.019799999999999998</v>
      </c>
      <c r="N47" s="23">
        <f>0.06*C47/100</f>
        <v>0.0108</v>
      </c>
      <c r="O47" s="23">
        <v>0</v>
      </c>
      <c r="P47" s="74">
        <f>233*C47/100</f>
        <v>41.94</v>
      </c>
      <c r="Q47" s="60"/>
    </row>
    <row r="48" spans="1:17" s="28" customFormat="1" ht="16.5" customHeight="1">
      <c r="A48" s="72" t="s">
        <v>59</v>
      </c>
      <c r="B48" s="20">
        <v>6</v>
      </c>
      <c r="C48" s="20">
        <v>6</v>
      </c>
      <c r="D48" s="20"/>
      <c r="E48" s="23"/>
      <c r="F48" s="3">
        <f>99.9*C48/100</f>
        <v>5.994000000000001</v>
      </c>
      <c r="G48" s="3"/>
      <c r="H48" s="3"/>
      <c r="I48" s="3"/>
      <c r="J48" s="3"/>
      <c r="K48" s="3"/>
      <c r="L48" s="3"/>
      <c r="M48" s="3"/>
      <c r="N48" s="3"/>
      <c r="O48" s="3"/>
      <c r="P48" s="76">
        <f>899*C48/100</f>
        <v>53.94</v>
      </c>
      <c r="Q48" s="60"/>
    </row>
    <row r="49" spans="1:17" s="11" customFormat="1" ht="16.5" customHeight="1">
      <c r="A49" s="70" t="s">
        <v>16</v>
      </c>
      <c r="B49" s="9">
        <v>60</v>
      </c>
      <c r="C49" s="9">
        <v>60</v>
      </c>
      <c r="D49" s="10">
        <v>60</v>
      </c>
      <c r="E49" s="16">
        <f>7.6*C49/100</f>
        <v>4.56</v>
      </c>
      <c r="F49" s="16">
        <f>0.6*C49/100</f>
        <v>0.36</v>
      </c>
      <c r="G49" s="16">
        <f>52.3*C49/100</f>
        <v>31.38</v>
      </c>
      <c r="H49" s="16">
        <f>20*C49/100</f>
        <v>12</v>
      </c>
      <c r="I49" s="16">
        <f>14*C49/100</f>
        <v>8.4</v>
      </c>
      <c r="J49" s="16">
        <f>65*C49/100</f>
        <v>39</v>
      </c>
      <c r="K49" s="16">
        <f>0.9*C49/100</f>
        <v>0.54</v>
      </c>
      <c r="L49" s="16">
        <v>0</v>
      </c>
      <c r="M49" s="16">
        <f>0.11*C49/100</f>
        <v>0.066</v>
      </c>
      <c r="N49" s="16">
        <f>0.06*C49/100</f>
        <v>0.036</v>
      </c>
      <c r="O49" s="16">
        <v>0</v>
      </c>
      <c r="P49" s="71">
        <f>233*C49/100</f>
        <v>139.8</v>
      </c>
      <c r="Q49" s="56"/>
    </row>
    <row r="50" spans="1:17" s="11" customFormat="1" ht="16.5" customHeight="1">
      <c r="A50" s="70" t="s">
        <v>17</v>
      </c>
      <c r="B50" s="9">
        <v>35</v>
      </c>
      <c r="C50" s="9">
        <v>35</v>
      </c>
      <c r="D50" s="10">
        <v>35</v>
      </c>
      <c r="E50" s="16">
        <f>6.5*C50/100</f>
        <v>2.275</v>
      </c>
      <c r="F50" s="16">
        <f>1*C50/100</f>
        <v>0.35</v>
      </c>
      <c r="G50" s="16">
        <f>40.1*C50/100</f>
        <v>14.035</v>
      </c>
      <c r="H50" s="16">
        <f>38*C50/100</f>
        <v>13.3</v>
      </c>
      <c r="I50" s="16">
        <f>49*C50/100</f>
        <v>17.15</v>
      </c>
      <c r="J50" s="16">
        <f>156*C50/100</f>
        <v>54.6</v>
      </c>
      <c r="K50" s="16">
        <f>2.6*C50/100</f>
        <v>0.91</v>
      </c>
      <c r="L50" s="16">
        <v>0</v>
      </c>
      <c r="M50" s="16">
        <f>0.18*C50/100</f>
        <v>0.063</v>
      </c>
      <c r="N50" s="16">
        <f>0.11*C50/100</f>
        <v>0.0385</v>
      </c>
      <c r="O50" s="16">
        <v>0</v>
      </c>
      <c r="P50" s="71">
        <f>190*C50/100</f>
        <v>66.5</v>
      </c>
      <c r="Q50" s="56"/>
    </row>
    <row r="51" spans="1:17" s="31" customFormat="1" ht="16.5" customHeight="1">
      <c r="A51" s="103" t="s">
        <v>66</v>
      </c>
      <c r="B51" s="29">
        <v>200</v>
      </c>
      <c r="C51" s="29">
        <v>200</v>
      </c>
      <c r="D51" s="8">
        <v>200</v>
      </c>
      <c r="E51" s="30">
        <f>0.5*C51/100</f>
        <v>1</v>
      </c>
      <c r="F51" s="30"/>
      <c r="G51" s="30">
        <f>11.7*C51/100</f>
        <v>23.4</v>
      </c>
      <c r="H51" s="30">
        <f>8*C51/100</f>
        <v>16</v>
      </c>
      <c r="I51" s="30">
        <f>5*C51/100</f>
        <v>10</v>
      </c>
      <c r="J51" s="30">
        <f>9*C51/100</f>
        <v>18</v>
      </c>
      <c r="K51" s="30">
        <f>0.2*C51/100</f>
        <v>0.4</v>
      </c>
      <c r="L51" s="30"/>
      <c r="M51" s="30"/>
      <c r="N51" s="30"/>
      <c r="O51" s="30">
        <f>2*C51/100</f>
        <v>4</v>
      </c>
      <c r="P51" s="104">
        <f>47*C51/100</f>
        <v>94</v>
      </c>
      <c r="Q51" s="81"/>
    </row>
    <row r="52" spans="1:17" s="5" customFormat="1" ht="33" customHeight="1">
      <c r="A52" s="77" t="s">
        <v>22</v>
      </c>
      <c r="B52" s="4"/>
      <c r="C52" s="4"/>
      <c r="D52" s="6"/>
      <c r="E52" s="4">
        <f>E29+E39+E42+E49+E50+E51</f>
        <v>39.910000000000004</v>
      </c>
      <c r="F52" s="4">
        <f aca="true" t="shared" si="7" ref="F52:P52">F29+F39+F42+F49+F50+F51</f>
        <v>32.179</v>
      </c>
      <c r="G52" s="4">
        <f t="shared" si="7"/>
        <v>158.303</v>
      </c>
      <c r="H52" s="4">
        <f t="shared" si="7"/>
        <v>157.47000000000003</v>
      </c>
      <c r="I52" s="4">
        <f t="shared" si="7"/>
        <v>156.41</v>
      </c>
      <c r="J52" s="4">
        <f t="shared" si="7"/>
        <v>448.31</v>
      </c>
      <c r="K52" s="4">
        <f t="shared" si="7"/>
        <v>10.266</v>
      </c>
      <c r="L52" s="4">
        <f t="shared" si="7"/>
        <v>1.3677999999999997</v>
      </c>
      <c r="M52" s="4">
        <f t="shared" si="7"/>
        <v>0.6465000000000001</v>
      </c>
      <c r="N52" s="4">
        <f t="shared" si="7"/>
        <v>0.2843</v>
      </c>
      <c r="O52" s="4">
        <f t="shared" si="7"/>
        <v>27.3</v>
      </c>
      <c r="P52" s="78">
        <f t="shared" si="7"/>
        <v>1050.36</v>
      </c>
      <c r="Q52" s="57"/>
    </row>
    <row r="53" spans="1:17" s="33" customFormat="1" ht="37.5" customHeight="1" thickBot="1">
      <c r="A53" s="200" t="s">
        <v>94</v>
      </c>
      <c r="B53" s="201"/>
      <c r="C53" s="202"/>
      <c r="D53" s="79"/>
      <c r="E53" s="79">
        <f aca="true" t="shared" si="8" ref="E53:P53">E24+E52</f>
        <v>62.22</v>
      </c>
      <c r="F53" s="79">
        <f t="shared" si="8"/>
        <v>46.967</v>
      </c>
      <c r="G53" s="79">
        <f t="shared" si="8"/>
        <v>244.984</v>
      </c>
      <c r="H53" s="79">
        <f t="shared" si="8"/>
        <v>280.83000000000004</v>
      </c>
      <c r="I53" s="79">
        <f t="shared" si="8"/>
        <v>247.39</v>
      </c>
      <c r="J53" s="79">
        <f t="shared" si="8"/>
        <v>634.6800000000001</v>
      </c>
      <c r="K53" s="79">
        <f t="shared" si="8"/>
        <v>16.921</v>
      </c>
      <c r="L53" s="79">
        <f t="shared" si="8"/>
        <v>2.6033</v>
      </c>
      <c r="M53" s="79">
        <f t="shared" si="8"/>
        <v>0.9115000000000001</v>
      </c>
      <c r="N53" s="79">
        <f t="shared" si="8"/>
        <v>0.5088</v>
      </c>
      <c r="O53" s="79">
        <f t="shared" si="8"/>
        <v>48.769999999999996</v>
      </c>
      <c r="P53" s="80">
        <f t="shared" si="8"/>
        <v>1601.86</v>
      </c>
      <c r="Q53" s="82"/>
    </row>
    <row r="54" spans="1:16" s="177" customFormat="1" ht="16.5" customHeight="1">
      <c r="A54" s="170"/>
      <c r="B54" s="170"/>
      <c r="C54" s="170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</row>
    <row r="55" spans="1:2" s="111" customFormat="1" ht="16.5" customHeight="1">
      <c r="A55" s="158" t="s">
        <v>153</v>
      </c>
      <c r="B55" s="159"/>
    </row>
    <row r="56" spans="1:2" s="111" customFormat="1" ht="16.5" customHeight="1">
      <c r="A56" s="158" t="s">
        <v>151</v>
      </c>
      <c r="B56" s="159"/>
    </row>
    <row r="57" spans="1:2" s="111" customFormat="1" ht="16.5" customHeight="1" thickBot="1">
      <c r="A57" s="180" t="s">
        <v>152</v>
      </c>
      <c r="B57" s="180"/>
    </row>
    <row r="58" spans="1:17" s="19" customFormat="1" ht="16.5" customHeight="1">
      <c r="A58" s="219" t="s">
        <v>0</v>
      </c>
      <c r="B58" s="193" t="s">
        <v>40</v>
      </c>
      <c r="C58" s="193" t="s">
        <v>41</v>
      </c>
      <c r="D58" s="223" t="s">
        <v>42</v>
      </c>
      <c r="E58" s="194" t="s">
        <v>1</v>
      </c>
      <c r="F58" s="194"/>
      <c r="G58" s="194"/>
      <c r="H58" s="194" t="s">
        <v>3</v>
      </c>
      <c r="I58" s="194"/>
      <c r="J58" s="194"/>
      <c r="K58" s="194"/>
      <c r="L58" s="220" t="s">
        <v>2</v>
      </c>
      <c r="M58" s="221"/>
      <c r="N58" s="221"/>
      <c r="O58" s="221"/>
      <c r="P58" s="222" t="s">
        <v>43</v>
      </c>
      <c r="Q58" s="58"/>
    </row>
    <row r="59" spans="1:17" s="19" customFormat="1" ht="16.5" customHeight="1">
      <c r="A59" s="204"/>
      <c r="B59" s="185"/>
      <c r="C59" s="185"/>
      <c r="D59" s="214"/>
      <c r="E59" s="189"/>
      <c r="F59" s="189"/>
      <c r="G59" s="189"/>
      <c r="H59" s="189" t="s">
        <v>4</v>
      </c>
      <c r="I59" s="189"/>
      <c r="J59" s="189"/>
      <c r="K59" s="189"/>
      <c r="L59" s="208"/>
      <c r="M59" s="209"/>
      <c r="N59" s="209"/>
      <c r="O59" s="209"/>
      <c r="P59" s="211"/>
      <c r="Q59" s="58"/>
    </row>
    <row r="60" spans="1:17" s="19" customFormat="1" ht="16.5" customHeight="1">
      <c r="A60" s="205"/>
      <c r="B60" s="185"/>
      <c r="C60" s="185"/>
      <c r="D60" s="215"/>
      <c r="E60" s="18" t="s">
        <v>5</v>
      </c>
      <c r="F60" s="18" t="s">
        <v>6</v>
      </c>
      <c r="G60" s="18" t="s">
        <v>7</v>
      </c>
      <c r="H60" s="18" t="s">
        <v>10</v>
      </c>
      <c r="I60" s="18" t="s">
        <v>12</v>
      </c>
      <c r="J60" s="18" t="s">
        <v>11</v>
      </c>
      <c r="K60" s="18" t="s">
        <v>13</v>
      </c>
      <c r="L60" s="18" t="s">
        <v>9</v>
      </c>
      <c r="M60" s="18" t="s">
        <v>51</v>
      </c>
      <c r="N60" s="18" t="s">
        <v>52</v>
      </c>
      <c r="O60" s="18" t="s">
        <v>8</v>
      </c>
      <c r="P60" s="212"/>
      <c r="Q60" s="58"/>
    </row>
    <row r="61" spans="1:17" s="35" customFormat="1" ht="16.5" customHeight="1">
      <c r="A61" s="87" t="s">
        <v>14</v>
      </c>
      <c r="B61" s="34"/>
      <c r="C61" s="34"/>
      <c r="D61" s="10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71"/>
      <c r="Q61" s="54"/>
    </row>
    <row r="62" spans="1:17" s="11" customFormat="1" ht="16.5" customHeight="1">
      <c r="A62" s="186" t="s">
        <v>23</v>
      </c>
      <c r="B62" s="187"/>
      <c r="C62" s="188"/>
      <c r="D62" s="10">
        <v>250</v>
      </c>
      <c r="E62" s="16">
        <f>E63+E64+E65+E66</f>
        <v>9.954000000000002</v>
      </c>
      <c r="F62" s="16">
        <f aca="true" t="shared" si="9" ref="F62:P62">F63+F64+F65+F66</f>
        <v>12.258</v>
      </c>
      <c r="G62" s="16">
        <f t="shared" si="9"/>
        <v>64.66399999999999</v>
      </c>
      <c r="H62" s="16">
        <f t="shared" si="9"/>
        <v>145.28</v>
      </c>
      <c r="I62" s="16">
        <f t="shared" si="9"/>
        <v>72.28</v>
      </c>
      <c r="J62" s="16">
        <f t="shared" si="9"/>
        <v>233.76</v>
      </c>
      <c r="K62" s="16">
        <f t="shared" si="9"/>
        <v>3.841</v>
      </c>
      <c r="L62" s="16">
        <f t="shared" si="9"/>
        <v>0.153</v>
      </c>
      <c r="M62" s="16">
        <f t="shared" si="9"/>
        <v>0.35040000000000004</v>
      </c>
      <c r="N62" s="16">
        <f t="shared" si="9"/>
        <v>0.20279999999999998</v>
      </c>
      <c r="O62" s="16">
        <f t="shared" si="9"/>
        <v>0.56</v>
      </c>
      <c r="P62" s="71">
        <f t="shared" si="9"/>
        <v>339.93999999999994</v>
      </c>
      <c r="Q62" s="56"/>
    </row>
    <row r="63" spans="1:17" s="28" customFormat="1" ht="16.5" customHeight="1">
      <c r="A63" s="72" t="s">
        <v>50</v>
      </c>
      <c r="B63" s="20">
        <v>14</v>
      </c>
      <c r="C63" s="20">
        <v>14</v>
      </c>
      <c r="D63" s="20"/>
      <c r="E63" s="23">
        <f>25.6*C63/100</f>
        <v>3.5840000000000005</v>
      </c>
      <c r="F63" s="23">
        <f>25*C63/100</f>
        <v>3.5</v>
      </c>
      <c r="G63" s="23">
        <f>39.4*C63/100</f>
        <v>5.516</v>
      </c>
      <c r="H63" s="23">
        <f>919*C63/100</f>
        <v>128.66</v>
      </c>
      <c r="I63" s="23">
        <f>139*C63/100</f>
        <v>19.46</v>
      </c>
      <c r="J63" s="23">
        <f>790*C63/100</f>
        <v>110.6</v>
      </c>
      <c r="K63" s="23">
        <f>1.1*C63/100</f>
        <v>0.15400000000000003</v>
      </c>
      <c r="L63" s="23">
        <f>0.25*C63/100</f>
        <v>0.035</v>
      </c>
      <c r="M63" s="23">
        <f>0.2*C63/100</f>
        <v>0.028000000000000004</v>
      </c>
      <c r="N63" s="23">
        <f>1.3*C63/100</f>
        <v>0.182</v>
      </c>
      <c r="O63" s="23">
        <f>4*C63/100</f>
        <v>0.56</v>
      </c>
      <c r="P63" s="74">
        <f>475*C63/100</f>
        <v>66.5</v>
      </c>
      <c r="Q63" s="60"/>
    </row>
    <row r="64" spans="1:17" s="28" customFormat="1" ht="16.5" customHeight="1">
      <c r="A64" s="72" t="s">
        <v>68</v>
      </c>
      <c r="B64" s="20">
        <v>52</v>
      </c>
      <c r="C64" s="20">
        <v>52</v>
      </c>
      <c r="D64" s="20"/>
      <c r="E64" s="23">
        <f>12*C64/100</f>
        <v>6.24</v>
      </c>
      <c r="F64" s="23">
        <f>2.9*C64/100</f>
        <v>1.5079999999999998</v>
      </c>
      <c r="G64" s="23">
        <f>96.3*C64/100</f>
        <v>50.07599999999999</v>
      </c>
      <c r="H64" s="23">
        <f>27*C64/100</f>
        <v>14.04</v>
      </c>
      <c r="I64" s="23">
        <f>101*C64/100</f>
        <v>52.52</v>
      </c>
      <c r="J64" s="23">
        <f>233*C64/100</f>
        <v>121.16</v>
      </c>
      <c r="K64" s="23">
        <f>7*C64/100</f>
        <v>3.64</v>
      </c>
      <c r="L64" s="23">
        <f>0.15*C64/100</f>
        <v>0.078</v>
      </c>
      <c r="M64" s="23">
        <f>0.62*C64/100</f>
        <v>0.3224</v>
      </c>
      <c r="N64" s="23">
        <f>0.04*C64/100</f>
        <v>0.0208</v>
      </c>
      <c r="O64" s="23"/>
      <c r="P64" s="74">
        <f>334*C64/100</f>
        <v>173.68</v>
      </c>
      <c r="Q64" s="60"/>
    </row>
    <row r="65" spans="1:17" s="28" customFormat="1" ht="16.5" customHeight="1">
      <c r="A65" s="72" t="s">
        <v>63</v>
      </c>
      <c r="B65" s="20">
        <v>10</v>
      </c>
      <c r="C65" s="20">
        <v>10</v>
      </c>
      <c r="D65" s="20"/>
      <c r="E65" s="3">
        <f>1.3*C65/100</f>
        <v>0.13</v>
      </c>
      <c r="F65" s="3">
        <f>72.5*C65/100</f>
        <v>7.25</v>
      </c>
      <c r="G65" s="3">
        <f>0.9*C65/100</f>
        <v>0.09</v>
      </c>
      <c r="H65" s="3">
        <f>24*C65/100</f>
        <v>2.4</v>
      </c>
      <c r="I65" s="3">
        <f>3*C65/100</f>
        <v>0.3</v>
      </c>
      <c r="J65" s="3">
        <f>20*C65/100</f>
        <v>2</v>
      </c>
      <c r="K65" s="3">
        <f>0.2*C65/100</f>
        <v>0.02</v>
      </c>
      <c r="L65" s="3">
        <f>0.4*C65/100</f>
        <v>0.04</v>
      </c>
      <c r="M65" s="3"/>
      <c r="N65" s="3"/>
      <c r="O65" s="3"/>
      <c r="P65" s="76">
        <f>661*C65/100</f>
        <v>66.1</v>
      </c>
      <c r="Q65" s="60"/>
    </row>
    <row r="66" spans="1:17" s="28" customFormat="1" ht="16.5" customHeight="1">
      <c r="A66" s="72" t="s">
        <v>53</v>
      </c>
      <c r="B66" s="20">
        <v>9</v>
      </c>
      <c r="C66" s="20">
        <v>9</v>
      </c>
      <c r="D66" s="20"/>
      <c r="E66" s="3"/>
      <c r="F66" s="3"/>
      <c r="G66" s="3">
        <f>99.8*C66/100</f>
        <v>8.982</v>
      </c>
      <c r="H66" s="3">
        <f>2*C66/100</f>
        <v>0.18</v>
      </c>
      <c r="I66" s="3"/>
      <c r="J66" s="3"/>
      <c r="K66" s="3">
        <f>0.3*C66/100</f>
        <v>0.026999999999999996</v>
      </c>
      <c r="L66" s="3"/>
      <c r="M66" s="3"/>
      <c r="N66" s="3"/>
      <c r="O66" s="3"/>
      <c r="P66" s="76">
        <f>374*C66/100</f>
        <v>33.66</v>
      </c>
      <c r="Q66" s="60"/>
    </row>
    <row r="67" spans="1:17" s="11" customFormat="1" ht="16.5" customHeight="1">
      <c r="A67" s="70" t="s">
        <v>16</v>
      </c>
      <c r="B67" s="9">
        <v>40</v>
      </c>
      <c r="C67" s="9">
        <v>40</v>
      </c>
      <c r="D67" s="10">
        <v>40</v>
      </c>
      <c r="E67" s="16">
        <f>7.6*C67/100</f>
        <v>3.04</v>
      </c>
      <c r="F67" s="16">
        <f>0.6*C67/100</f>
        <v>0.24</v>
      </c>
      <c r="G67" s="16">
        <f>52.3*C67/100</f>
        <v>20.92</v>
      </c>
      <c r="H67" s="16">
        <f>20*C67/100</f>
        <v>8</v>
      </c>
      <c r="I67" s="16">
        <f>14*C67/100</f>
        <v>5.6</v>
      </c>
      <c r="J67" s="16">
        <f>65*C67/100</f>
        <v>26</v>
      </c>
      <c r="K67" s="16">
        <f>0.9*C67/100</f>
        <v>0.36</v>
      </c>
      <c r="L67" s="16">
        <v>0</v>
      </c>
      <c r="M67" s="16">
        <f>0.11*C67/100</f>
        <v>0.044000000000000004</v>
      </c>
      <c r="N67" s="16">
        <f>0.06*C67/100</f>
        <v>0.024</v>
      </c>
      <c r="O67" s="16">
        <v>0</v>
      </c>
      <c r="P67" s="71">
        <f>233*C67/100</f>
        <v>93.2</v>
      </c>
      <c r="Q67" s="56"/>
    </row>
    <row r="68" spans="1:17" s="11" customFormat="1" ht="16.5" customHeight="1">
      <c r="A68" s="186" t="s">
        <v>90</v>
      </c>
      <c r="B68" s="187"/>
      <c r="C68" s="188"/>
      <c r="D68" s="10">
        <v>200</v>
      </c>
      <c r="E68" s="16">
        <f>E69+E70+E71</f>
        <v>4.040000000000001</v>
      </c>
      <c r="F68" s="16">
        <f aca="true" t="shared" si="10" ref="F68:P68">F69+F70+F71</f>
        <v>3.7</v>
      </c>
      <c r="G68" s="16">
        <f t="shared" si="10"/>
        <v>25.804000000000002</v>
      </c>
      <c r="H68" s="16">
        <f t="shared" si="10"/>
        <v>111.4</v>
      </c>
      <c r="I68" s="16">
        <f t="shared" si="10"/>
        <v>20.28</v>
      </c>
      <c r="J68" s="16">
        <f t="shared" si="10"/>
        <v>125.64</v>
      </c>
      <c r="K68" s="16">
        <f t="shared" si="10"/>
        <v>0.66</v>
      </c>
      <c r="L68" s="16">
        <f t="shared" si="10"/>
        <v>0.03</v>
      </c>
      <c r="M68" s="16">
        <f t="shared" si="10"/>
        <v>0.024000000000000004</v>
      </c>
      <c r="N68" s="16">
        <f t="shared" si="10"/>
        <v>0.15600000000000003</v>
      </c>
      <c r="O68" s="16">
        <f t="shared" si="10"/>
        <v>0.48</v>
      </c>
      <c r="P68" s="71">
        <f t="shared" si="10"/>
        <v>146.72</v>
      </c>
      <c r="Q68" s="56"/>
    </row>
    <row r="69" spans="1:17" s="22" customFormat="1" ht="16.5" customHeight="1">
      <c r="A69" s="72" t="s">
        <v>89</v>
      </c>
      <c r="B69" s="20">
        <v>4</v>
      </c>
      <c r="C69" s="20">
        <v>4</v>
      </c>
      <c r="D69" s="20"/>
      <c r="E69" s="3">
        <f>24.2*C69/100</f>
        <v>0.968</v>
      </c>
      <c r="F69" s="3">
        <f>17.5*C69/100</f>
        <v>0.7</v>
      </c>
      <c r="G69" s="3">
        <f>27.9*C69/100</f>
        <v>1.1159999999999999</v>
      </c>
      <c r="H69" s="3">
        <f>18*C69/100</f>
        <v>0.72</v>
      </c>
      <c r="I69" s="3">
        <f>90*C69/100</f>
        <v>3.6</v>
      </c>
      <c r="J69" s="3">
        <f>771*C69/100</f>
        <v>30.84</v>
      </c>
      <c r="K69" s="3">
        <f>11.7*C69/100</f>
        <v>0.46799999999999997</v>
      </c>
      <c r="L69" s="3"/>
      <c r="M69" s="3"/>
      <c r="N69" s="3"/>
      <c r="O69" s="3"/>
      <c r="P69" s="76">
        <f>373*C69/100</f>
        <v>14.92</v>
      </c>
      <c r="Q69" s="59"/>
    </row>
    <row r="70" spans="1:17" s="22" customFormat="1" ht="16.5" customHeight="1">
      <c r="A70" s="72" t="s">
        <v>53</v>
      </c>
      <c r="B70" s="20">
        <v>20</v>
      </c>
      <c r="C70" s="20">
        <v>20</v>
      </c>
      <c r="D70" s="20"/>
      <c r="E70" s="23"/>
      <c r="F70" s="23"/>
      <c r="G70" s="3">
        <f>99.8*C70/100</f>
        <v>19.96</v>
      </c>
      <c r="H70" s="3">
        <f>2*C70/100</f>
        <v>0.4</v>
      </c>
      <c r="I70" s="3"/>
      <c r="J70" s="3"/>
      <c r="K70" s="3">
        <f>0.3*C70/100</f>
        <v>0.06</v>
      </c>
      <c r="L70" s="3"/>
      <c r="M70" s="3"/>
      <c r="N70" s="3"/>
      <c r="O70" s="3"/>
      <c r="P70" s="76">
        <f>374*C70/100</f>
        <v>74.8</v>
      </c>
      <c r="Q70" s="59"/>
    </row>
    <row r="71" spans="1:17" s="22" customFormat="1" ht="16.5" customHeight="1">
      <c r="A71" s="72" t="s">
        <v>50</v>
      </c>
      <c r="B71" s="20">
        <v>12</v>
      </c>
      <c r="C71" s="20">
        <v>12</v>
      </c>
      <c r="D71" s="20"/>
      <c r="E71" s="23">
        <f>25.6*C71/100</f>
        <v>3.0720000000000005</v>
      </c>
      <c r="F71" s="23">
        <f>25*C71/100</f>
        <v>3</v>
      </c>
      <c r="G71" s="23">
        <f>39.4*C71/100</f>
        <v>4.728</v>
      </c>
      <c r="H71" s="23">
        <f>919*C71/100</f>
        <v>110.28</v>
      </c>
      <c r="I71" s="23">
        <f>139*C71/100</f>
        <v>16.68</v>
      </c>
      <c r="J71" s="23">
        <f>790*C71/100</f>
        <v>94.8</v>
      </c>
      <c r="K71" s="23">
        <f>1.1*C71/100</f>
        <v>0.132</v>
      </c>
      <c r="L71" s="23">
        <f>0.25*C71/100</f>
        <v>0.03</v>
      </c>
      <c r="M71" s="23">
        <f>0.2*C71/100</f>
        <v>0.024000000000000004</v>
      </c>
      <c r="N71" s="23">
        <f>1.3*C71/100</f>
        <v>0.15600000000000003</v>
      </c>
      <c r="O71" s="23">
        <f>4*C71/100</f>
        <v>0.48</v>
      </c>
      <c r="P71" s="74">
        <f>475*C71/100</f>
        <v>57</v>
      </c>
      <c r="Q71" s="59"/>
    </row>
    <row r="72" spans="1:17" s="11" customFormat="1" ht="33" customHeight="1">
      <c r="A72" s="70" t="s">
        <v>95</v>
      </c>
      <c r="B72" s="9">
        <v>220</v>
      </c>
      <c r="C72" s="9">
        <v>200</v>
      </c>
      <c r="D72" s="10">
        <v>200</v>
      </c>
      <c r="E72" s="7">
        <f>0.4*C72/100</f>
        <v>0.8</v>
      </c>
      <c r="F72" s="7"/>
      <c r="G72" s="7">
        <f>11.3*C72/100</f>
        <v>22.6</v>
      </c>
      <c r="H72" s="7">
        <f>16*C72/100</f>
        <v>32</v>
      </c>
      <c r="I72" s="7">
        <f>9*C72/100</f>
        <v>18</v>
      </c>
      <c r="J72" s="7">
        <f>11*C72/100</f>
        <v>22</v>
      </c>
      <c r="K72" s="7">
        <f>2.2*C72/100</f>
        <v>4.4</v>
      </c>
      <c r="L72" s="7">
        <f>0.03*C72/100</f>
        <v>0.06</v>
      </c>
      <c r="M72" s="7">
        <f>0.01*C72/100</f>
        <v>0.02</v>
      </c>
      <c r="N72" s="7">
        <f>0.03*C72/100</f>
        <v>0.06</v>
      </c>
      <c r="O72" s="7">
        <f>13*C72/100</f>
        <v>26</v>
      </c>
      <c r="P72" s="92">
        <f>46*C72/100</f>
        <v>92</v>
      </c>
      <c r="Q72" s="56"/>
    </row>
    <row r="73" spans="1:17" s="5" customFormat="1" ht="33" customHeight="1" thickBot="1">
      <c r="A73" s="89" t="s">
        <v>18</v>
      </c>
      <c r="B73" s="90"/>
      <c r="C73" s="90"/>
      <c r="D73" s="100"/>
      <c r="E73" s="90">
        <f>E62+E67+E68+E72</f>
        <v>17.834000000000007</v>
      </c>
      <c r="F73" s="90">
        <f aca="true" t="shared" si="11" ref="F73:P73">F62+F67+F68+F72</f>
        <v>16.198</v>
      </c>
      <c r="G73" s="90">
        <f t="shared" si="11"/>
        <v>133.988</v>
      </c>
      <c r="H73" s="90">
        <f t="shared" si="11"/>
        <v>296.68</v>
      </c>
      <c r="I73" s="90">
        <f t="shared" si="11"/>
        <v>116.16</v>
      </c>
      <c r="J73" s="90">
        <f t="shared" si="11"/>
        <v>407.4</v>
      </c>
      <c r="K73" s="90">
        <f t="shared" si="11"/>
        <v>9.261000000000001</v>
      </c>
      <c r="L73" s="90">
        <f t="shared" si="11"/>
        <v>0.243</v>
      </c>
      <c r="M73" s="90">
        <f t="shared" si="11"/>
        <v>0.43840000000000007</v>
      </c>
      <c r="N73" s="90">
        <f t="shared" si="11"/>
        <v>0.4428</v>
      </c>
      <c r="O73" s="90">
        <f t="shared" si="11"/>
        <v>27.04</v>
      </c>
      <c r="P73" s="91">
        <f t="shared" si="11"/>
        <v>671.8599999999999</v>
      </c>
      <c r="Q73" s="57"/>
    </row>
    <row r="74" spans="1:17" s="35" customFormat="1" ht="16.5" customHeight="1">
      <c r="A74" s="65" t="s">
        <v>19</v>
      </c>
      <c r="B74" s="66"/>
      <c r="C74" s="66"/>
      <c r="D74" s="67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9"/>
      <c r="Q74" s="54"/>
    </row>
    <row r="75" spans="1:17" s="19" customFormat="1" ht="16.5" customHeight="1">
      <c r="A75" s="216" t="s">
        <v>0</v>
      </c>
      <c r="B75" s="185" t="s">
        <v>40</v>
      </c>
      <c r="C75" s="185" t="s">
        <v>41</v>
      </c>
      <c r="D75" s="213" t="s">
        <v>42</v>
      </c>
      <c r="E75" s="189" t="s">
        <v>1</v>
      </c>
      <c r="F75" s="189"/>
      <c r="G75" s="189"/>
      <c r="H75" s="189" t="s">
        <v>3</v>
      </c>
      <c r="I75" s="189"/>
      <c r="J75" s="189"/>
      <c r="K75" s="189"/>
      <c r="L75" s="206" t="s">
        <v>2</v>
      </c>
      <c r="M75" s="207"/>
      <c r="N75" s="207"/>
      <c r="O75" s="207"/>
      <c r="P75" s="210" t="s">
        <v>43</v>
      </c>
      <c r="Q75" s="58"/>
    </row>
    <row r="76" spans="1:17" s="19" customFormat="1" ht="16.5" customHeight="1">
      <c r="A76" s="217"/>
      <c r="B76" s="185"/>
      <c r="C76" s="185"/>
      <c r="D76" s="214"/>
      <c r="E76" s="189"/>
      <c r="F76" s="189"/>
      <c r="G76" s="189"/>
      <c r="H76" s="189" t="s">
        <v>4</v>
      </c>
      <c r="I76" s="189"/>
      <c r="J76" s="189"/>
      <c r="K76" s="189"/>
      <c r="L76" s="208"/>
      <c r="M76" s="209"/>
      <c r="N76" s="209"/>
      <c r="O76" s="209"/>
      <c r="P76" s="211"/>
      <c r="Q76" s="58"/>
    </row>
    <row r="77" spans="1:17" s="19" customFormat="1" ht="16.5" customHeight="1">
      <c r="A77" s="218"/>
      <c r="B77" s="185"/>
      <c r="C77" s="185"/>
      <c r="D77" s="215"/>
      <c r="E77" s="18" t="s">
        <v>5</v>
      </c>
      <c r="F77" s="18" t="s">
        <v>6</v>
      </c>
      <c r="G77" s="18" t="s">
        <v>7</v>
      </c>
      <c r="H77" s="18" t="s">
        <v>10</v>
      </c>
      <c r="I77" s="18" t="s">
        <v>12</v>
      </c>
      <c r="J77" s="18" t="s">
        <v>11</v>
      </c>
      <c r="K77" s="18" t="s">
        <v>13</v>
      </c>
      <c r="L77" s="18" t="s">
        <v>9</v>
      </c>
      <c r="M77" s="18" t="s">
        <v>51</v>
      </c>
      <c r="N77" s="18" t="s">
        <v>52</v>
      </c>
      <c r="O77" s="18" t="s">
        <v>8</v>
      </c>
      <c r="P77" s="212"/>
      <c r="Q77" s="58"/>
    </row>
    <row r="78" spans="1:17" s="11" customFormat="1" ht="16.5" customHeight="1">
      <c r="A78" s="186" t="s">
        <v>24</v>
      </c>
      <c r="B78" s="187"/>
      <c r="C78" s="188"/>
      <c r="D78" s="10">
        <v>250</v>
      </c>
      <c r="E78" s="16">
        <f>E79+E80+E81+E82+E83+E84+E85</f>
        <v>3.1799999999999997</v>
      </c>
      <c r="F78" s="16">
        <f aca="true" t="shared" si="12" ref="F78:P78">F79+F80+F81+F82+F83+F84+F85</f>
        <v>7.14</v>
      </c>
      <c r="G78" s="16">
        <f t="shared" si="12"/>
        <v>23.105</v>
      </c>
      <c r="H78" s="16">
        <f t="shared" si="12"/>
        <v>29.9</v>
      </c>
      <c r="I78" s="16">
        <f t="shared" si="12"/>
        <v>30.7</v>
      </c>
      <c r="J78" s="16">
        <f t="shared" si="12"/>
        <v>85.75</v>
      </c>
      <c r="K78" s="16">
        <f t="shared" si="12"/>
        <v>1.3350000000000002</v>
      </c>
      <c r="L78" s="16">
        <f t="shared" si="12"/>
        <v>0.933</v>
      </c>
      <c r="M78" s="16">
        <f t="shared" si="12"/>
        <v>0.11399999999999999</v>
      </c>
      <c r="N78" s="16">
        <f t="shared" si="12"/>
        <v>0.059000000000000004</v>
      </c>
      <c r="O78" s="16">
        <f t="shared" si="12"/>
        <v>19.03</v>
      </c>
      <c r="P78" s="71">
        <f t="shared" si="12"/>
        <v>164.75</v>
      </c>
      <c r="Q78" s="56"/>
    </row>
    <row r="79" spans="1:17" s="22" customFormat="1" ht="16.5" customHeight="1">
      <c r="A79" s="72" t="s">
        <v>49</v>
      </c>
      <c r="B79" s="20">
        <v>125</v>
      </c>
      <c r="C79" s="20">
        <v>90</v>
      </c>
      <c r="D79" s="20"/>
      <c r="E79" s="21">
        <f>2*C79/100</f>
        <v>1.8</v>
      </c>
      <c r="F79" s="21">
        <f>0.1*C79/100</f>
        <v>0.09</v>
      </c>
      <c r="G79" s="21">
        <f>19.7*C79/100</f>
        <v>17.73</v>
      </c>
      <c r="H79" s="21">
        <f>10*C79/100</f>
        <v>9</v>
      </c>
      <c r="I79" s="21">
        <f>23*C79/100</f>
        <v>20.7</v>
      </c>
      <c r="J79" s="21">
        <f>58*C79/100</f>
        <v>52.2</v>
      </c>
      <c r="K79" s="21">
        <f>0.9*C79/100</f>
        <v>0.81</v>
      </c>
      <c r="L79" s="21">
        <f>0.02*C79/100</f>
        <v>0.018000000000000002</v>
      </c>
      <c r="M79" s="21">
        <f>0.12*C79/100</f>
        <v>0.10799999999999998</v>
      </c>
      <c r="N79" s="21">
        <f>0.05*C79/100</f>
        <v>0.045</v>
      </c>
      <c r="O79" s="21">
        <f>20*C79/100</f>
        <v>18</v>
      </c>
      <c r="P79" s="73">
        <f>83*C79/100</f>
        <v>74.7</v>
      </c>
      <c r="Q79" s="59"/>
    </row>
    <row r="80" spans="1:17" s="22" customFormat="1" ht="16.5" customHeight="1">
      <c r="A80" s="72" t="s">
        <v>46</v>
      </c>
      <c r="B80" s="20">
        <v>6</v>
      </c>
      <c r="C80" s="20">
        <v>5</v>
      </c>
      <c r="D80" s="20"/>
      <c r="E80" s="23">
        <f>1.7*C80/100</f>
        <v>0.085</v>
      </c>
      <c r="F80" s="23">
        <v>0</v>
      </c>
      <c r="G80" s="23">
        <f>9.5*C80/100</f>
        <v>0.475</v>
      </c>
      <c r="H80" s="23">
        <f>31*C80/100</f>
        <v>1.55</v>
      </c>
      <c r="I80" s="23">
        <f>14*C80/100</f>
        <v>0.7</v>
      </c>
      <c r="J80" s="23">
        <f>58*C80/100</f>
        <v>2.9</v>
      </c>
      <c r="K80" s="23">
        <f>0.8*C80/100</f>
        <v>0.04</v>
      </c>
      <c r="L80" s="23">
        <v>0</v>
      </c>
      <c r="M80" s="23">
        <v>0</v>
      </c>
      <c r="N80" s="23">
        <v>0</v>
      </c>
      <c r="O80" s="23">
        <f>10*C80/100</f>
        <v>0.5</v>
      </c>
      <c r="P80" s="74">
        <f>43*C80/100</f>
        <v>2.15</v>
      </c>
      <c r="Q80" s="59"/>
    </row>
    <row r="81" spans="1:17" s="22" customFormat="1" ht="16.5" customHeight="1">
      <c r="A81" s="72" t="s">
        <v>47</v>
      </c>
      <c r="B81" s="20">
        <v>13</v>
      </c>
      <c r="C81" s="20">
        <v>10</v>
      </c>
      <c r="D81" s="20"/>
      <c r="E81" s="24">
        <f>1.3*C81/100</f>
        <v>0.13</v>
      </c>
      <c r="F81" s="24"/>
      <c r="G81" s="24">
        <f>7*C81/100</f>
        <v>0.7</v>
      </c>
      <c r="H81" s="24">
        <f>51*C81/100</f>
        <v>5.1</v>
      </c>
      <c r="I81" s="24">
        <f>38*C81/100</f>
        <v>3.8</v>
      </c>
      <c r="J81" s="24">
        <f>55*C81/100</f>
        <v>5.5</v>
      </c>
      <c r="K81" s="24">
        <f>1.2*C81/100</f>
        <v>0.12</v>
      </c>
      <c r="L81" s="24">
        <f>9*C81/100</f>
        <v>0.9</v>
      </c>
      <c r="M81" s="24">
        <v>0</v>
      </c>
      <c r="N81" s="24">
        <v>0</v>
      </c>
      <c r="O81" s="24">
        <f>5*C81/100</f>
        <v>0.5</v>
      </c>
      <c r="P81" s="75">
        <f>33*C81/100</f>
        <v>3.3</v>
      </c>
      <c r="Q81" s="59"/>
    </row>
    <row r="82" spans="1:17" s="22" customFormat="1" ht="16.5" customHeight="1">
      <c r="A82" s="72" t="s">
        <v>59</v>
      </c>
      <c r="B82" s="20">
        <v>5</v>
      </c>
      <c r="C82" s="20">
        <v>5</v>
      </c>
      <c r="D82" s="20"/>
      <c r="E82" s="23"/>
      <c r="F82" s="3">
        <f>99.9*C82/100</f>
        <v>4.995</v>
      </c>
      <c r="G82" s="3"/>
      <c r="H82" s="3"/>
      <c r="I82" s="3"/>
      <c r="J82" s="3"/>
      <c r="K82" s="3"/>
      <c r="L82" s="3"/>
      <c r="M82" s="3"/>
      <c r="N82" s="3"/>
      <c r="O82" s="3"/>
      <c r="P82" s="76">
        <f>899*C82/100</f>
        <v>44.95</v>
      </c>
      <c r="Q82" s="59"/>
    </row>
    <row r="83" spans="1:17" s="22" customFormat="1" ht="16.5" customHeight="1">
      <c r="A83" s="72" t="s">
        <v>69</v>
      </c>
      <c r="B83" s="20">
        <v>16</v>
      </c>
      <c r="C83" s="20">
        <v>15</v>
      </c>
      <c r="D83" s="20"/>
      <c r="E83" s="23">
        <f>2.8*C83/100</f>
        <v>0.42</v>
      </c>
      <c r="F83" s="23"/>
      <c r="G83" s="23">
        <f>1.3*C83/100</f>
        <v>0.195</v>
      </c>
      <c r="H83" s="23">
        <f>25*C83/100</f>
        <v>3.75</v>
      </c>
      <c r="I83" s="23"/>
      <c r="J83" s="23">
        <f>20*C83/100</f>
        <v>3</v>
      </c>
      <c r="K83" s="23">
        <f>1.2*C83/100</f>
        <v>0.18</v>
      </c>
      <c r="L83" s="23"/>
      <c r="M83" s="23"/>
      <c r="N83" s="23"/>
      <c r="O83" s="23"/>
      <c r="P83" s="74">
        <f>19*C83/100</f>
        <v>2.85</v>
      </c>
      <c r="Q83" s="59"/>
    </row>
    <row r="84" spans="1:17" s="22" customFormat="1" ht="16.5" customHeight="1">
      <c r="A84" s="72" t="s">
        <v>78</v>
      </c>
      <c r="B84" s="20">
        <v>5</v>
      </c>
      <c r="C84" s="20">
        <v>5</v>
      </c>
      <c r="D84" s="20"/>
      <c r="E84" s="23">
        <f>9.3*C84/100</f>
        <v>0.465</v>
      </c>
      <c r="F84" s="23">
        <f>1.1*C84/100</f>
        <v>0.055</v>
      </c>
      <c r="G84" s="23">
        <f>73.7*C84/100</f>
        <v>3.685</v>
      </c>
      <c r="H84" s="23">
        <f>38*C84/100</f>
        <v>1.9</v>
      </c>
      <c r="I84" s="23">
        <f>94*C84/100</f>
        <v>4.7</v>
      </c>
      <c r="J84" s="23">
        <f>323*C84/100</f>
        <v>16.15</v>
      </c>
      <c r="K84" s="23">
        <f>3.3*C84/100</f>
        <v>0.165</v>
      </c>
      <c r="L84" s="23"/>
      <c r="M84" s="23">
        <f>0.12*C84/100</f>
        <v>0.006</v>
      </c>
      <c r="N84" s="23">
        <f>0.06*C84/100</f>
        <v>0.003</v>
      </c>
      <c r="O84" s="23"/>
      <c r="P84" s="74">
        <f>324*C84/100</f>
        <v>16.2</v>
      </c>
      <c r="Q84" s="59"/>
    </row>
    <row r="85" spans="1:17" s="22" customFormat="1" ht="16.5" customHeight="1">
      <c r="A85" s="72" t="s">
        <v>61</v>
      </c>
      <c r="B85" s="20">
        <v>10</v>
      </c>
      <c r="C85" s="20">
        <v>10</v>
      </c>
      <c r="D85" s="20"/>
      <c r="E85" s="3">
        <f>2.8*C85/100</f>
        <v>0.28</v>
      </c>
      <c r="F85" s="3">
        <f>20*C85/100</f>
        <v>2</v>
      </c>
      <c r="G85" s="3">
        <f>3.2*C85/100</f>
        <v>0.32</v>
      </c>
      <c r="H85" s="3">
        <f>86*C85/100</f>
        <v>8.6</v>
      </c>
      <c r="I85" s="3">
        <f>8*C85/100</f>
        <v>0.8</v>
      </c>
      <c r="J85" s="3">
        <f>60*C85/100</f>
        <v>6</v>
      </c>
      <c r="K85" s="3">
        <f>0.2*C85/100</f>
        <v>0.02</v>
      </c>
      <c r="L85" s="3">
        <f>0.15*C85/100</f>
        <v>0.015</v>
      </c>
      <c r="M85" s="3"/>
      <c r="N85" s="3">
        <f>0.11*C85/100</f>
        <v>0.011000000000000001</v>
      </c>
      <c r="O85" s="3">
        <f>0.3*C85/100</f>
        <v>0.03</v>
      </c>
      <c r="P85" s="76">
        <f>206*C85/100</f>
        <v>20.6</v>
      </c>
      <c r="Q85" s="59"/>
    </row>
    <row r="86" spans="1:17" s="11" customFormat="1" ht="16.5" customHeight="1">
      <c r="A86" s="186" t="s">
        <v>25</v>
      </c>
      <c r="B86" s="187"/>
      <c r="C86" s="188"/>
      <c r="D86" s="10">
        <v>180</v>
      </c>
      <c r="E86" s="16">
        <f>E87+E88</f>
        <v>6.6049999999999995</v>
      </c>
      <c r="F86" s="16">
        <f aca="true" t="shared" si="13" ref="F86:P86">F87+F88</f>
        <v>5.143</v>
      </c>
      <c r="G86" s="16">
        <f t="shared" si="13"/>
        <v>45.316</v>
      </c>
      <c r="H86" s="16">
        <f t="shared" si="13"/>
        <v>16.080000000000002</v>
      </c>
      <c r="I86" s="16">
        <f t="shared" si="13"/>
        <v>27.63</v>
      </c>
      <c r="J86" s="16">
        <f t="shared" si="13"/>
        <v>71.96000000000001</v>
      </c>
      <c r="K86" s="16">
        <f t="shared" si="13"/>
        <v>1.293</v>
      </c>
      <c r="L86" s="16">
        <f t="shared" si="13"/>
        <v>0.024000000000000004</v>
      </c>
      <c r="M86" s="16">
        <f t="shared" si="13"/>
        <v>0.1525</v>
      </c>
      <c r="N86" s="16">
        <f t="shared" si="13"/>
        <v>0.07319999999999999</v>
      </c>
      <c r="O86" s="16">
        <f t="shared" si="13"/>
        <v>0</v>
      </c>
      <c r="P86" s="71">
        <f t="shared" si="13"/>
        <v>242.79</v>
      </c>
      <c r="Q86" s="56"/>
    </row>
    <row r="87" spans="1:17" s="22" customFormat="1" ht="16.5" customHeight="1">
      <c r="A87" s="72" t="s">
        <v>70</v>
      </c>
      <c r="B87" s="20">
        <v>61</v>
      </c>
      <c r="C87" s="20">
        <v>61</v>
      </c>
      <c r="D87" s="20"/>
      <c r="E87" s="23">
        <f>10.7*C87/100</f>
        <v>6.526999999999999</v>
      </c>
      <c r="F87" s="23">
        <f>1.3*C87/100</f>
        <v>0.7929999999999999</v>
      </c>
      <c r="G87" s="23">
        <f>74.2*C87/100</f>
        <v>45.262</v>
      </c>
      <c r="H87" s="23">
        <f>24*C87/100</f>
        <v>14.64</v>
      </c>
      <c r="I87" s="23">
        <f>45*C87/100</f>
        <v>27.45</v>
      </c>
      <c r="J87" s="23">
        <f>116*C87/100</f>
        <v>70.76</v>
      </c>
      <c r="K87" s="23">
        <f>2.1*C87/100</f>
        <v>1.281</v>
      </c>
      <c r="L87" s="23"/>
      <c r="M87" s="23">
        <f>0.25*C87/100</f>
        <v>0.1525</v>
      </c>
      <c r="N87" s="23">
        <f>0.12*C87/100</f>
        <v>0.07319999999999999</v>
      </c>
      <c r="O87" s="23"/>
      <c r="P87" s="74">
        <f>333*C87/100</f>
        <v>203.13</v>
      </c>
      <c r="Q87" s="59"/>
    </row>
    <row r="88" spans="1:17" s="22" customFormat="1" ht="16.5" customHeight="1">
      <c r="A88" s="72" t="s">
        <v>63</v>
      </c>
      <c r="B88" s="20">
        <v>6</v>
      </c>
      <c r="C88" s="20">
        <v>6</v>
      </c>
      <c r="D88" s="20"/>
      <c r="E88" s="3">
        <f>1.3*C88/100</f>
        <v>0.07800000000000001</v>
      </c>
      <c r="F88" s="3">
        <f>72.5*C88/100</f>
        <v>4.35</v>
      </c>
      <c r="G88" s="3">
        <f>0.9*C88/100</f>
        <v>0.054000000000000006</v>
      </c>
      <c r="H88" s="3">
        <f>24*C88/100</f>
        <v>1.44</v>
      </c>
      <c r="I88" s="3">
        <f>3*C88/100</f>
        <v>0.18</v>
      </c>
      <c r="J88" s="3">
        <f>20*C88/100</f>
        <v>1.2</v>
      </c>
      <c r="K88" s="3">
        <f>0.2*C88/100</f>
        <v>0.012000000000000002</v>
      </c>
      <c r="L88" s="3">
        <f>0.4*C88/100</f>
        <v>0.024000000000000004</v>
      </c>
      <c r="M88" s="3"/>
      <c r="N88" s="3"/>
      <c r="O88" s="3"/>
      <c r="P88" s="76">
        <f>661*C88/100</f>
        <v>39.66</v>
      </c>
      <c r="Q88" s="59"/>
    </row>
    <row r="89" spans="1:17" s="11" customFormat="1" ht="16.5" customHeight="1">
      <c r="A89" s="186" t="s">
        <v>75</v>
      </c>
      <c r="B89" s="187"/>
      <c r="C89" s="188"/>
      <c r="D89" s="10">
        <v>100</v>
      </c>
      <c r="E89" s="16">
        <v>10.1</v>
      </c>
      <c r="F89" s="16">
        <v>31.6</v>
      </c>
      <c r="G89" s="16">
        <v>1.9</v>
      </c>
      <c r="H89" s="16">
        <v>6</v>
      </c>
      <c r="I89" s="16">
        <v>18</v>
      </c>
      <c r="J89" s="16">
        <v>139</v>
      </c>
      <c r="K89" s="16">
        <v>1.2</v>
      </c>
      <c r="L89" s="16"/>
      <c r="M89" s="16">
        <v>0.25</v>
      </c>
      <c r="N89" s="16">
        <v>0.12</v>
      </c>
      <c r="O89" s="16"/>
      <c r="P89" s="71">
        <v>332</v>
      </c>
      <c r="Q89" s="56"/>
    </row>
    <row r="90" spans="1:17" s="11" customFormat="1" ht="16.5" customHeight="1">
      <c r="A90" s="186" t="s">
        <v>38</v>
      </c>
      <c r="B90" s="187"/>
      <c r="C90" s="188"/>
      <c r="D90" s="10">
        <v>200</v>
      </c>
      <c r="E90" s="16">
        <f>E91+E92</f>
        <v>0.09600000000000002</v>
      </c>
      <c r="F90" s="16">
        <f aca="true" t="shared" si="14" ref="F90:P90">F91+F92</f>
        <v>0</v>
      </c>
      <c r="G90" s="16">
        <f t="shared" si="14"/>
        <v>31.46</v>
      </c>
      <c r="H90" s="16">
        <f t="shared" si="14"/>
        <v>0.2</v>
      </c>
      <c r="I90" s="16">
        <f t="shared" si="14"/>
        <v>0</v>
      </c>
      <c r="J90" s="16">
        <f t="shared" si="14"/>
        <v>0</v>
      </c>
      <c r="K90" s="16">
        <f t="shared" si="14"/>
        <v>0.03</v>
      </c>
      <c r="L90" s="16">
        <f t="shared" si="14"/>
        <v>0</v>
      </c>
      <c r="M90" s="16">
        <f t="shared" si="14"/>
        <v>0</v>
      </c>
      <c r="N90" s="16">
        <f t="shared" si="14"/>
        <v>0</v>
      </c>
      <c r="O90" s="16">
        <f t="shared" si="14"/>
        <v>0</v>
      </c>
      <c r="P90" s="71">
        <f t="shared" si="14"/>
        <v>118.52000000000001</v>
      </c>
      <c r="Q90" s="56"/>
    </row>
    <row r="91" spans="1:17" s="28" customFormat="1" ht="16.5" customHeight="1">
      <c r="A91" s="72" t="s">
        <v>53</v>
      </c>
      <c r="B91" s="20">
        <v>10</v>
      </c>
      <c r="C91" s="20">
        <v>10</v>
      </c>
      <c r="D91" s="20"/>
      <c r="E91" s="23"/>
      <c r="F91" s="23"/>
      <c r="G91" s="3">
        <f>99.8*C91/100</f>
        <v>9.98</v>
      </c>
      <c r="H91" s="3">
        <f>2*C91/100</f>
        <v>0.2</v>
      </c>
      <c r="I91" s="3"/>
      <c r="J91" s="3"/>
      <c r="K91" s="3">
        <f>0.3*C91/100</f>
        <v>0.03</v>
      </c>
      <c r="L91" s="3"/>
      <c r="M91" s="3"/>
      <c r="N91" s="3"/>
      <c r="O91" s="3"/>
      <c r="P91" s="76">
        <f>374*C91/100</f>
        <v>37.4</v>
      </c>
      <c r="Q91" s="60"/>
    </row>
    <row r="92" spans="1:17" s="28" customFormat="1" ht="16.5" customHeight="1">
      <c r="A92" s="72" t="s">
        <v>71</v>
      </c>
      <c r="B92" s="20">
        <v>24</v>
      </c>
      <c r="C92" s="20">
        <v>24</v>
      </c>
      <c r="D92" s="20"/>
      <c r="E92" s="21">
        <f>0.4*C92/100</f>
        <v>0.09600000000000002</v>
      </c>
      <c r="F92" s="21"/>
      <c r="G92" s="21">
        <f>89.5*C92/100</f>
        <v>21.48</v>
      </c>
      <c r="H92" s="21"/>
      <c r="I92" s="21"/>
      <c r="J92" s="21"/>
      <c r="K92" s="21"/>
      <c r="L92" s="21"/>
      <c r="M92" s="21"/>
      <c r="N92" s="21"/>
      <c r="O92" s="21"/>
      <c r="P92" s="73">
        <f>338*C92/100</f>
        <v>81.12</v>
      </c>
      <c r="Q92" s="60"/>
    </row>
    <row r="93" spans="1:17" ht="16.5" customHeight="1">
      <c r="A93" s="70" t="s">
        <v>16</v>
      </c>
      <c r="B93" s="9">
        <v>60</v>
      </c>
      <c r="C93" s="9">
        <v>60</v>
      </c>
      <c r="D93" s="10">
        <v>60</v>
      </c>
      <c r="E93" s="16">
        <f>7.6*C93/100</f>
        <v>4.56</v>
      </c>
      <c r="F93" s="16">
        <f>0.6*C93/100</f>
        <v>0.36</v>
      </c>
      <c r="G93" s="16">
        <f>52.3*C93/100</f>
        <v>31.38</v>
      </c>
      <c r="H93" s="16">
        <f>20*C93/100</f>
        <v>12</v>
      </c>
      <c r="I93" s="16">
        <f>14*C93/100</f>
        <v>8.4</v>
      </c>
      <c r="J93" s="16">
        <f>65*C93/100</f>
        <v>39</v>
      </c>
      <c r="K93" s="16">
        <f>0.9*C93/100</f>
        <v>0.54</v>
      </c>
      <c r="L93" s="16">
        <v>0</v>
      </c>
      <c r="M93" s="16">
        <f>0.11*C93/100</f>
        <v>0.066</v>
      </c>
      <c r="N93" s="16">
        <f>0.06*C93/100</f>
        <v>0.036</v>
      </c>
      <c r="O93" s="16">
        <v>0</v>
      </c>
      <c r="P93" s="71">
        <f>233*C93/100</f>
        <v>139.8</v>
      </c>
      <c r="Q93" s="55"/>
    </row>
    <row r="94" spans="1:17" ht="16.5" customHeight="1">
      <c r="A94" s="70" t="s">
        <v>17</v>
      </c>
      <c r="B94" s="9">
        <v>35</v>
      </c>
      <c r="C94" s="9">
        <v>35</v>
      </c>
      <c r="D94" s="10">
        <v>35</v>
      </c>
      <c r="E94" s="16">
        <f>6.5*C94/100</f>
        <v>2.275</v>
      </c>
      <c r="F94" s="16">
        <f>1*C94/100</f>
        <v>0.35</v>
      </c>
      <c r="G94" s="16">
        <f>40.1*C94/100</f>
        <v>14.035</v>
      </c>
      <c r="H94" s="16">
        <f>38*C94/100</f>
        <v>13.3</v>
      </c>
      <c r="I94" s="16">
        <f>49*C94/100</f>
        <v>17.15</v>
      </c>
      <c r="J94" s="16">
        <f>156*C94/100</f>
        <v>54.6</v>
      </c>
      <c r="K94" s="16">
        <f>2.6*C94/100</f>
        <v>0.91</v>
      </c>
      <c r="L94" s="16">
        <v>0</v>
      </c>
      <c r="M94" s="16">
        <f>0.18*C94/100</f>
        <v>0.063</v>
      </c>
      <c r="N94" s="16">
        <f>0.11*C94/100</f>
        <v>0.0385</v>
      </c>
      <c r="O94" s="16">
        <v>0</v>
      </c>
      <c r="P94" s="71">
        <f>190*C94/100</f>
        <v>66.5</v>
      </c>
      <c r="Q94" s="55"/>
    </row>
    <row r="95" spans="1:17" s="5" customFormat="1" ht="33" customHeight="1">
      <c r="A95" s="77" t="s">
        <v>22</v>
      </c>
      <c r="B95" s="4"/>
      <c r="C95" s="4"/>
      <c r="D95" s="4"/>
      <c r="E95" s="4">
        <f>E78+E86+E89+E90+E93+E94</f>
        <v>26.815999999999995</v>
      </c>
      <c r="F95" s="4">
        <f aca="true" t="shared" si="15" ref="F95:P95">F78+F86+F89+F90+F93+F94</f>
        <v>44.593</v>
      </c>
      <c r="G95" s="4">
        <f t="shared" si="15"/>
        <v>147.196</v>
      </c>
      <c r="H95" s="4">
        <f t="shared" si="15"/>
        <v>77.48</v>
      </c>
      <c r="I95" s="4">
        <f t="shared" si="15"/>
        <v>101.88</v>
      </c>
      <c r="J95" s="4">
        <f t="shared" si="15"/>
        <v>390.31000000000006</v>
      </c>
      <c r="K95" s="4">
        <f t="shared" si="15"/>
        <v>5.308</v>
      </c>
      <c r="L95" s="4">
        <f t="shared" si="15"/>
        <v>0.9570000000000001</v>
      </c>
      <c r="M95" s="4">
        <f t="shared" si="15"/>
        <v>0.6455</v>
      </c>
      <c r="N95" s="4">
        <f t="shared" si="15"/>
        <v>0.32669999999999993</v>
      </c>
      <c r="O95" s="4">
        <f t="shared" si="15"/>
        <v>19.03</v>
      </c>
      <c r="P95" s="78">
        <f t="shared" si="15"/>
        <v>1064.36</v>
      </c>
      <c r="Q95" s="57"/>
    </row>
    <row r="96" spans="1:17" s="164" customFormat="1" ht="37.5" customHeight="1" thickBot="1">
      <c r="A96" s="200" t="s">
        <v>91</v>
      </c>
      <c r="B96" s="201"/>
      <c r="C96" s="202"/>
      <c r="D96" s="79"/>
      <c r="E96" s="79">
        <f aca="true" t="shared" si="16" ref="E96:P96">E73+E95</f>
        <v>44.650000000000006</v>
      </c>
      <c r="F96" s="79">
        <f t="shared" si="16"/>
        <v>60.791000000000004</v>
      </c>
      <c r="G96" s="79">
        <f t="shared" si="16"/>
        <v>281.18399999999997</v>
      </c>
      <c r="H96" s="79">
        <f t="shared" si="16"/>
        <v>374.16</v>
      </c>
      <c r="I96" s="79">
        <f t="shared" si="16"/>
        <v>218.04</v>
      </c>
      <c r="J96" s="79">
        <f t="shared" si="16"/>
        <v>797.71</v>
      </c>
      <c r="K96" s="79">
        <f t="shared" si="16"/>
        <v>14.569</v>
      </c>
      <c r="L96" s="79">
        <f t="shared" si="16"/>
        <v>1.2000000000000002</v>
      </c>
      <c r="M96" s="79">
        <f t="shared" si="16"/>
        <v>1.0839</v>
      </c>
      <c r="N96" s="79">
        <f t="shared" si="16"/>
        <v>0.7695</v>
      </c>
      <c r="O96" s="79">
        <f t="shared" si="16"/>
        <v>46.07</v>
      </c>
      <c r="P96" s="80">
        <f t="shared" si="16"/>
        <v>1736.2199999999998</v>
      </c>
      <c r="Q96" s="163"/>
    </row>
    <row r="97" spans="1:16" s="177" customFormat="1" ht="16.5" customHeight="1">
      <c r="A97" s="170"/>
      <c r="B97" s="170"/>
      <c r="C97" s="170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</row>
    <row r="98" spans="1:2" s="109" customFormat="1" ht="16.5" customHeight="1">
      <c r="A98" s="158" t="s">
        <v>154</v>
      </c>
      <c r="B98" s="159"/>
    </row>
    <row r="99" spans="1:2" s="109" customFormat="1" ht="16.5" customHeight="1">
      <c r="A99" s="158" t="s">
        <v>151</v>
      </c>
      <c r="B99" s="159"/>
    </row>
    <row r="100" spans="1:2" s="109" customFormat="1" ht="16.5" customHeight="1" thickBot="1">
      <c r="A100" s="180" t="s">
        <v>152</v>
      </c>
      <c r="B100" s="180"/>
    </row>
    <row r="101" spans="1:17" s="35" customFormat="1" ht="16.5" customHeight="1">
      <c r="A101" s="65" t="s">
        <v>14</v>
      </c>
      <c r="B101" s="66"/>
      <c r="C101" s="66"/>
      <c r="D101" s="67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9"/>
      <c r="Q101" s="54"/>
    </row>
    <row r="102" spans="1:17" s="19" customFormat="1" ht="16.5" customHeight="1">
      <c r="A102" s="216" t="s">
        <v>0</v>
      </c>
      <c r="B102" s="185" t="s">
        <v>40</v>
      </c>
      <c r="C102" s="185" t="s">
        <v>41</v>
      </c>
      <c r="D102" s="213" t="s">
        <v>42</v>
      </c>
      <c r="E102" s="189" t="s">
        <v>1</v>
      </c>
      <c r="F102" s="189"/>
      <c r="G102" s="189"/>
      <c r="H102" s="189" t="s">
        <v>3</v>
      </c>
      <c r="I102" s="189"/>
      <c r="J102" s="189"/>
      <c r="K102" s="189"/>
      <c r="L102" s="206" t="s">
        <v>2</v>
      </c>
      <c r="M102" s="207"/>
      <c r="N102" s="207"/>
      <c r="O102" s="207"/>
      <c r="P102" s="210" t="s">
        <v>43</v>
      </c>
      <c r="Q102" s="58"/>
    </row>
    <row r="103" spans="1:17" s="19" customFormat="1" ht="16.5" customHeight="1">
      <c r="A103" s="217"/>
      <c r="B103" s="185"/>
      <c r="C103" s="185"/>
      <c r="D103" s="214"/>
      <c r="E103" s="189"/>
      <c r="F103" s="189"/>
      <c r="G103" s="189"/>
      <c r="H103" s="189" t="s">
        <v>4</v>
      </c>
      <c r="I103" s="189"/>
      <c r="J103" s="189"/>
      <c r="K103" s="189"/>
      <c r="L103" s="208"/>
      <c r="M103" s="209"/>
      <c r="N103" s="209"/>
      <c r="O103" s="209"/>
      <c r="P103" s="211"/>
      <c r="Q103" s="58"/>
    </row>
    <row r="104" spans="1:17" s="19" customFormat="1" ht="16.5" customHeight="1">
      <c r="A104" s="218"/>
      <c r="B104" s="185"/>
      <c r="C104" s="185"/>
      <c r="D104" s="215"/>
      <c r="E104" s="18" t="s">
        <v>5</v>
      </c>
      <c r="F104" s="18" t="s">
        <v>6</v>
      </c>
      <c r="G104" s="18" t="s">
        <v>7</v>
      </c>
      <c r="H104" s="18" t="s">
        <v>10</v>
      </c>
      <c r="I104" s="18" t="s">
        <v>12</v>
      </c>
      <c r="J104" s="18" t="s">
        <v>11</v>
      </c>
      <c r="K104" s="18" t="s">
        <v>13</v>
      </c>
      <c r="L104" s="18" t="s">
        <v>9</v>
      </c>
      <c r="M104" s="18" t="s">
        <v>51</v>
      </c>
      <c r="N104" s="18" t="s">
        <v>52</v>
      </c>
      <c r="O104" s="18" t="s">
        <v>8</v>
      </c>
      <c r="P104" s="212"/>
      <c r="Q104" s="58"/>
    </row>
    <row r="105" spans="1:17" s="11" customFormat="1" ht="33" customHeight="1">
      <c r="A105" s="186" t="s">
        <v>76</v>
      </c>
      <c r="B105" s="187"/>
      <c r="C105" s="188"/>
      <c r="D105" s="10" t="s">
        <v>137</v>
      </c>
      <c r="E105" s="16">
        <f>E106+E107+E108+E109+E110+E111+E112+E113+E114+E115</f>
        <v>18.541000000000004</v>
      </c>
      <c r="F105" s="16">
        <f aca="true" t="shared" si="17" ref="F105:P105">F106+F107+F108+F109+F110+F111+F112+F113+F114+F115</f>
        <v>14.333</v>
      </c>
      <c r="G105" s="16">
        <f t="shared" si="17"/>
        <v>48.412000000000006</v>
      </c>
      <c r="H105" s="16">
        <f t="shared" si="17"/>
        <v>231.22</v>
      </c>
      <c r="I105" s="16">
        <f t="shared" si="17"/>
        <v>80.41000000000001</v>
      </c>
      <c r="J105" s="16">
        <f t="shared" si="17"/>
        <v>301.66</v>
      </c>
      <c r="K105" s="16">
        <f t="shared" si="17"/>
        <v>3.0349999999999997</v>
      </c>
      <c r="L105" s="16">
        <f t="shared" si="17"/>
        <v>10.0425</v>
      </c>
      <c r="M105" s="16">
        <f t="shared" si="17"/>
        <v>0.12910000000000002</v>
      </c>
      <c r="N105" s="16">
        <f t="shared" si="17"/>
        <v>0.34080000000000005</v>
      </c>
      <c r="O105" s="16">
        <f t="shared" si="17"/>
        <v>6.0249999999999995</v>
      </c>
      <c r="P105" s="71">
        <f t="shared" si="17"/>
        <v>388.96000000000004</v>
      </c>
      <c r="Q105" s="56"/>
    </row>
    <row r="106" spans="1:17" ht="16.5" customHeight="1">
      <c r="A106" s="72" t="s">
        <v>72</v>
      </c>
      <c r="B106" s="9">
        <v>70</v>
      </c>
      <c r="C106" s="9">
        <v>70</v>
      </c>
      <c r="D106" s="9"/>
      <c r="E106" s="3">
        <f>16.7*C106/100</f>
        <v>11.69</v>
      </c>
      <c r="F106" s="3">
        <f>9*C106/100</f>
        <v>6.3</v>
      </c>
      <c r="G106" s="3">
        <f>1.3*C106/100</f>
        <v>0.91</v>
      </c>
      <c r="H106" s="3">
        <f>164*C106/100</f>
        <v>114.8</v>
      </c>
      <c r="I106" s="3">
        <f>23*C106/100</f>
        <v>16.1</v>
      </c>
      <c r="J106" s="3">
        <f>220*C106/100</f>
        <v>154</v>
      </c>
      <c r="K106" s="3">
        <f>0.4*C106/100</f>
        <v>0.28</v>
      </c>
      <c r="L106" s="3">
        <f>0.05*C106/100</f>
        <v>0.035</v>
      </c>
      <c r="M106" s="3">
        <v>0.1</v>
      </c>
      <c r="N106" s="3">
        <f>0.27*C106/100</f>
        <v>0.18900000000000003</v>
      </c>
      <c r="O106" s="3">
        <f>0.5*C106/100</f>
        <v>0.35</v>
      </c>
      <c r="P106" s="76">
        <f>156*C106/100</f>
        <v>109.2</v>
      </c>
      <c r="Q106" s="55"/>
    </row>
    <row r="107" spans="1:17" ht="16.5" customHeight="1">
      <c r="A107" s="72" t="s">
        <v>47</v>
      </c>
      <c r="B107" s="9">
        <v>140</v>
      </c>
      <c r="C107" s="9">
        <v>110</v>
      </c>
      <c r="D107" s="9"/>
      <c r="E107" s="24">
        <f>1.3*C107/100</f>
        <v>1.43</v>
      </c>
      <c r="F107" s="24"/>
      <c r="G107" s="24">
        <f>7*C107/100</f>
        <v>7.7</v>
      </c>
      <c r="H107" s="24">
        <f>51*C107/100</f>
        <v>56.1</v>
      </c>
      <c r="I107" s="24">
        <f>38*C107/100</f>
        <v>41.8</v>
      </c>
      <c r="J107" s="24">
        <f>55*C107/100</f>
        <v>60.5</v>
      </c>
      <c r="K107" s="24">
        <f>1.2*C107/100</f>
        <v>1.32</v>
      </c>
      <c r="L107" s="24">
        <f>9*C107/100</f>
        <v>9.9</v>
      </c>
      <c r="M107" s="24">
        <v>0</v>
      </c>
      <c r="N107" s="24">
        <v>0</v>
      </c>
      <c r="O107" s="24">
        <f>5*C107/100</f>
        <v>5.5</v>
      </c>
      <c r="P107" s="75">
        <f>33*C107/100</f>
        <v>36.3</v>
      </c>
      <c r="Q107" s="55"/>
    </row>
    <row r="108" spans="1:17" ht="16.5" customHeight="1">
      <c r="A108" s="72" t="s">
        <v>73</v>
      </c>
      <c r="B108" s="9">
        <v>24</v>
      </c>
      <c r="C108" s="9">
        <v>20</v>
      </c>
      <c r="D108" s="9"/>
      <c r="E108" s="3">
        <f>12.7*C108/100</f>
        <v>2.54</v>
      </c>
      <c r="F108" s="3">
        <f>11.5*C108/100</f>
        <v>2.3</v>
      </c>
      <c r="G108" s="3">
        <f>0.7*C108/100</f>
        <v>0.14</v>
      </c>
      <c r="H108" s="3">
        <f>55*C108/100</f>
        <v>11</v>
      </c>
      <c r="I108" s="3">
        <f>54*C108/100</f>
        <v>10.8</v>
      </c>
      <c r="J108" s="3">
        <f>185*C108/100</f>
        <v>37</v>
      </c>
      <c r="K108" s="3">
        <f>2.7*C108/100</f>
        <v>0.54</v>
      </c>
      <c r="L108" s="3">
        <f>0.35*C108/100</f>
        <v>0.07</v>
      </c>
      <c r="M108" s="3"/>
      <c r="N108" s="3">
        <f>0.44*C108/100</f>
        <v>0.08800000000000001</v>
      </c>
      <c r="O108" s="3"/>
      <c r="P108" s="76">
        <f>157*C108/100</f>
        <v>31.4</v>
      </c>
      <c r="Q108" s="55"/>
    </row>
    <row r="109" spans="1:17" ht="16.5" customHeight="1">
      <c r="A109" s="72" t="s">
        <v>50</v>
      </c>
      <c r="B109" s="9">
        <v>4</v>
      </c>
      <c r="C109" s="9">
        <v>4</v>
      </c>
      <c r="D109" s="9"/>
      <c r="E109" s="23">
        <f>25.6*C109/100</f>
        <v>1.024</v>
      </c>
      <c r="F109" s="23">
        <f>25*C109/100</f>
        <v>1</v>
      </c>
      <c r="G109" s="23">
        <f>39.4*C109/100</f>
        <v>1.5759999999999998</v>
      </c>
      <c r="H109" s="23">
        <f>919*C109/100</f>
        <v>36.76</v>
      </c>
      <c r="I109" s="23">
        <f>139*C109/100</f>
        <v>5.56</v>
      </c>
      <c r="J109" s="23">
        <f>790*C109/100</f>
        <v>31.6</v>
      </c>
      <c r="K109" s="23">
        <f>1.1*C109/100</f>
        <v>0.044000000000000004</v>
      </c>
      <c r="L109" s="23">
        <f>0.25*C109/100</f>
        <v>0.01</v>
      </c>
      <c r="M109" s="23">
        <f>0.2*C109/100</f>
        <v>0.008</v>
      </c>
      <c r="N109" s="23">
        <f>1.3*C109/100</f>
        <v>0.052000000000000005</v>
      </c>
      <c r="O109" s="23">
        <f>4*C109/100</f>
        <v>0.16</v>
      </c>
      <c r="P109" s="74">
        <f>475*C109/100</f>
        <v>19</v>
      </c>
      <c r="Q109" s="55"/>
    </row>
    <row r="110" spans="1:17" ht="16.5" customHeight="1">
      <c r="A110" s="72" t="s">
        <v>53</v>
      </c>
      <c r="B110" s="9">
        <v>8</v>
      </c>
      <c r="C110" s="9">
        <v>8</v>
      </c>
      <c r="D110" s="9"/>
      <c r="E110" s="23"/>
      <c r="F110" s="23"/>
      <c r="G110" s="3">
        <f>99.8*C110/100</f>
        <v>7.984</v>
      </c>
      <c r="H110" s="3">
        <f>2*C110/100</f>
        <v>0.16</v>
      </c>
      <c r="I110" s="3"/>
      <c r="J110" s="3"/>
      <c r="K110" s="3">
        <f>0.3*C110/100</f>
        <v>0.024</v>
      </c>
      <c r="L110" s="3"/>
      <c r="M110" s="3"/>
      <c r="N110" s="3"/>
      <c r="O110" s="3"/>
      <c r="P110" s="76">
        <f>374*C110/100</f>
        <v>29.92</v>
      </c>
      <c r="Q110" s="55"/>
    </row>
    <row r="111" spans="1:17" ht="16.5" customHeight="1">
      <c r="A111" s="72" t="s">
        <v>63</v>
      </c>
      <c r="B111" s="9">
        <v>5</v>
      </c>
      <c r="C111" s="9">
        <v>5</v>
      </c>
      <c r="D111" s="9"/>
      <c r="E111" s="3">
        <f>1.3*C111/100</f>
        <v>0.065</v>
      </c>
      <c r="F111" s="3">
        <f>72.5*C111/100</f>
        <v>3.625</v>
      </c>
      <c r="G111" s="3">
        <f>0.9*C111/100</f>
        <v>0.045</v>
      </c>
      <c r="H111" s="3">
        <f>24*C111/100</f>
        <v>1.2</v>
      </c>
      <c r="I111" s="3">
        <f>3*C111/100</f>
        <v>0.15</v>
      </c>
      <c r="J111" s="3">
        <f>20*C111/100</f>
        <v>1</v>
      </c>
      <c r="K111" s="3">
        <f>0.2*C111/100</f>
        <v>0.01</v>
      </c>
      <c r="L111" s="3">
        <f>0.4*C111/100</f>
        <v>0.02</v>
      </c>
      <c r="M111" s="3"/>
      <c r="N111" s="3"/>
      <c r="O111" s="3"/>
      <c r="P111" s="76">
        <f>661*C111/100</f>
        <v>33.05</v>
      </c>
      <c r="Q111" s="55"/>
    </row>
    <row r="112" spans="1:17" ht="16.5" customHeight="1">
      <c r="A112" s="72" t="s">
        <v>142</v>
      </c>
      <c r="B112" s="9">
        <v>9</v>
      </c>
      <c r="C112" s="9">
        <v>9</v>
      </c>
      <c r="D112" s="9"/>
      <c r="E112" s="23">
        <f>11.3*C112/100</f>
        <v>1.0170000000000001</v>
      </c>
      <c r="F112" s="3">
        <f>0.7*C112/100</f>
        <v>0.063</v>
      </c>
      <c r="G112" s="3">
        <f>73.3*C112/100</f>
        <v>6.5969999999999995</v>
      </c>
      <c r="H112" s="3">
        <f>20*C112/100</f>
        <v>1.8</v>
      </c>
      <c r="I112" s="3">
        <f>30*C112/100</f>
        <v>2.7</v>
      </c>
      <c r="J112" s="3">
        <f>84*C112/100</f>
        <v>7.56</v>
      </c>
      <c r="K112" s="3">
        <f>2.3*C112/100</f>
        <v>0.207</v>
      </c>
      <c r="L112" s="3"/>
      <c r="M112" s="3">
        <f>0.14*C112/100</f>
        <v>0.012600000000000002</v>
      </c>
      <c r="N112" s="3">
        <f>0.07*C112/100</f>
        <v>0.006300000000000001</v>
      </c>
      <c r="O112" s="3"/>
      <c r="P112" s="76">
        <f>326*C112/100</f>
        <v>29.34</v>
      </c>
      <c r="Q112" s="55"/>
    </row>
    <row r="113" spans="1:17" ht="16.5" customHeight="1">
      <c r="A113" s="72" t="s">
        <v>64</v>
      </c>
      <c r="B113" s="9">
        <v>5</v>
      </c>
      <c r="C113" s="9">
        <v>5</v>
      </c>
      <c r="D113" s="9"/>
      <c r="E113" s="3">
        <f>10.3*C113/100</f>
        <v>0.515</v>
      </c>
      <c r="F113" s="3">
        <f>0.9*C113/100</f>
        <v>0.045</v>
      </c>
      <c r="G113" s="3">
        <f>74.2*C113/100</f>
        <v>3.71</v>
      </c>
      <c r="H113" s="3">
        <f>18*C113/100</f>
        <v>0.9</v>
      </c>
      <c r="I113" s="3">
        <f>16*C113/100</f>
        <v>0.8</v>
      </c>
      <c r="J113" s="3">
        <f>86*C113/100</f>
        <v>4.3</v>
      </c>
      <c r="K113" s="3">
        <f>1.2*C113/100</f>
        <v>0.06</v>
      </c>
      <c r="L113" s="3"/>
      <c r="M113" s="3">
        <f>0.17*C113/100</f>
        <v>0.0085</v>
      </c>
      <c r="N113" s="3"/>
      <c r="O113" s="3"/>
      <c r="P113" s="76">
        <f>327*C113/100</f>
        <v>16.35</v>
      </c>
      <c r="Q113" s="55"/>
    </row>
    <row r="114" spans="1:17" ht="16.5" customHeight="1">
      <c r="A114" s="72" t="s">
        <v>61</v>
      </c>
      <c r="B114" s="9">
        <v>5</v>
      </c>
      <c r="C114" s="9">
        <v>5</v>
      </c>
      <c r="D114" s="9"/>
      <c r="E114" s="3">
        <f>2.8*C114/100</f>
        <v>0.14</v>
      </c>
      <c r="F114" s="3">
        <f>20*C114/100</f>
        <v>1</v>
      </c>
      <c r="G114" s="3">
        <f>3.2*C114/100</f>
        <v>0.16</v>
      </c>
      <c r="H114" s="3">
        <f>86*C114/100</f>
        <v>4.3</v>
      </c>
      <c r="I114" s="3">
        <f>8*C114/100</f>
        <v>0.4</v>
      </c>
      <c r="J114" s="3">
        <f>60*C114/100</f>
        <v>3</v>
      </c>
      <c r="K114" s="3">
        <f>0.2*C114/100</f>
        <v>0.01</v>
      </c>
      <c r="L114" s="3">
        <f>0.15*C114/100</f>
        <v>0.0075</v>
      </c>
      <c r="M114" s="3"/>
      <c r="N114" s="3">
        <f>0.11*C114/100</f>
        <v>0.0055000000000000005</v>
      </c>
      <c r="O114" s="3">
        <f>0.3*C114/100</f>
        <v>0.015</v>
      </c>
      <c r="P114" s="76">
        <f>206*C114/100</f>
        <v>10.3</v>
      </c>
      <c r="Q114" s="55"/>
    </row>
    <row r="115" spans="1:17" ht="16.5" customHeight="1">
      <c r="A115" s="72" t="s">
        <v>74</v>
      </c>
      <c r="B115" s="9">
        <v>30</v>
      </c>
      <c r="C115" s="9">
        <v>30</v>
      </c>
      <c r="D115" s="9"/>
      <c r="E115" s="36">
        <f>0.4*C115/100</f>
        <v>0.12</v>
      </c>
      <c r="F115" s="36"/>
      <c r="G115" s="36">
        <f>65.3*C115/100</f>
        <v>19.59</v>
      </c>
      <c r="H115" s="36">
        <f>14*C115/100</f>
        <v>4.2</v>
      </c>
      <c r="I115" s="36">
        <f>7*C115/100</f>
        <v>2.1</v>
      </c>
      <c r="J115" s="36">
        <f>9*C115/100</f>
        <v>2.7</v>
      </c>
      <c r="K115" s="36">
        <f>1.8*C115/100</f>
        <v>0.54</v>
      </c>
      <c r="L115" s="36"/>
      <c r="M115" s="36"/>
      <c r="N115" s="36"/>
      <c r="O115" s="36"/>
      <c r="P115" s="98">
        <f>247*C115/100</f>
        <v>74.1</v>
      </c>
      <c r="Q115" s="55"/>
    </row>
    <row r="116" spans="1:17" s="11" customFormat="1" ht="16.5" customHeight="1">
      <c r="A116" s="186" t="s">
        <v>88</v>
      </c>
      <c r="B116" s="187"/>
      <c r="C116" s="188"/>
      <c r="D116" s="10">
        <v>30</v>
      </c>
      <c r="E116" s="16">
        <v>2.25</v>
      </c>
      <c r="F116" s="16">
        <v>2.94</v>
      </c>
      <c r="G116" s="16">
        <v>22.32</v>
      </c>
      <c r="H116" s="16">
        <v>6</v>
      </c>
      <c r="I116" s="16">
        <v>6</v>
      </c>
      <c r="J116" s="16">
        <v>27</v>
      </c>
      <c r="K116" s="16">
        <v>0.63</v>
      </c>
      <c r="L116" s="16">
        <v>0.3</v>
      </c>
      <c r="M116" s="16">
        <v>0.02</v>
      </c>
      <c r="N116" s="16"/>
      <c r="O116" s="16"/>
      <c r="P116" s="71">
        <v>125</v>
      </c>
      <c r="Q116" s="56"/>
    </row>
    <row r="117" spans="1:17" s="11" customFormat="1" ht="16.5" customHeight="1">
      <c r="A117" s="186" t="s">
        <v>32</v>
      </c>
      <c r="B117" s="187"/>
      <c r="C117" s="188"/>
      <c r="D117" s="10">
        <v>200</v>
      </c>
      <c r="E117" s="16">
        <v>1.4</v>
      </c>
      <c r="F117" s="16">
        <v>2</v>
      </c>
      <c r="G117" s="16">
        <v>6</v>
      </c>
      <c r="H117" s="16">
        <v>34</v>
      </c>
      <c r="I117" s="16"/>
      <c r="J117" s="16">
        <v>50</v>
      </c>
      <c r="K117" s="16"/>
      <c r="L117" s="16"/>
      <c r="M117" s="16">
        <v>0.02</v>
      </c>
      <c r="N117" s="16"/>
      <c r="O117" s="16">
        <v>0.4</v>
      </c>
      <c r="P117" s="71">
        <v>116</v>
      </c>
      <c r="Q117" s="56"/>
    </row>
    <row r="118" spans="1:17" s="22" customFormat="1" ht="16.5" customHeight="1">
      <c r="A118" s="72" t="s">
        <v>67</v>
      </c>
      <c r="B118" s="20">
        <v>1</v>
      </c>
      <c r="C118" s="20">
        <v>1</v>
      </c>
      <c r="D118" s="20"/>
      <c r="E118" s="3">
        <f>20*C118/100</f>
        <v>0.2</v>
      </c>
      <c r="F118" s="3"/>
      <c r="G118" s="3">
        <f>6.9*C118/100</f>
        <v>0.069</v>
      </c>
      <c r="H118" s="3">
        <f>495*C118/100</f>
        <v>4.95</v>
      </c>
      <c r="I118" s="3">
        <f>440*C118/100</f>
        <v>4.4</v>
      </c>
      <c r="J118" s="3">
        <f>825*C118/100</f>
        <v>8.25</v>
      </c>
      <c r="K118" s="3">
        <f>82*C118/100</f>
        <v>0.82</v>
      </c>
      <c r="L118" s="3"/>
      <c r="M118" s="3"/>
      <c r="N118" s="3"/>
      <c r="O118" s="3">
        <f>10*C118/100</f>
        <v>0.1</v>
      </c>
      <c r="P118" s="76">
        <f>109*C118/100</f>
        <v>1.09</v>
      </c>
      <c r="Q118" s="59"/>
    </row>
    <row r="119" spans="1:17" s="22" customFormat="1" ht="16.5" customHeight="1">
      <c r="A119" s="72" t="s">
        <v>50</v>
      </c>
      <c r="B119" s="20">
        <v>6</v>
      </c>
      <c r="C119" s="20">
        <v>6</v>
      </c>
      <c r="D119" s="20"/>
      <c r="E119" s="23">
        <f>25.6*C119/100</f>
        <v>1.5360000000000003</v>
      </c>
      <c r="F119" s="23">
        <f>25*C119/100</f>
        <v>1.5</v>
      </c>
      <c r="G119" s="23">
        <f>39.4*C119/100</f>
        <v>2.364</v>
      </c>
      <c r="H119" s="23">
        <f>919*C119/100</f>
        <v>55.14</v>
      </c>
      <c r="I119" s="23">
        <f>139*C119/100</f>
        <v>8.34</v>
      </c>
      <c r="J119" s="23">
        <f>790*C119/100</f>
        <v>47.4</v>
      </c>
      <c r="K119" s="23">
        <f>1.1*C119/100</f>
        <v>0.066</v>
      </c>
      <c r="L119" s="23">
        <f>0.25*C119/100</f>
        <v>0.015</v>
      </c>
      <c r="M119" s="23">
        <f>0.2*C119/100</f>
        <v>0.012000000000000002</v>
      </c>
      <c r="N119" s="23">
        <f>1.3*C119/100</f>
        <v>0.07800000000000001</v>
      </c>
      <c r="O119" s="23">
        <f>4*C119/100</f>
        <v>0.24</v>
      </c>
      <c r="P119" s="74">
        <f>475*C119/100</f>
        <v>28.5</v>
      </c>
      <c r="Q119" s="59"/>
    </row>
    <row r="120" spans="1:17" s="121" customFormat="1" ht="33" customHeight="1" thickBot="1">
      <c r="A120" s="89" t="s">
        <v>18</v>
      </c>
      <c r="B120" s="90"/>
      <c r="C120" s="90"/>
      <c r="D120" s="90"/>
      <c r="E120" s="90">
        <f>E105+E116+E117</f>
        <v>22.191000000000003</v>
      </c>
      <c r="F120" s="90">
        <f aca="true" t="shared" si="18" ref="F120:P120">F105+F116+F117</f>
        <v>19.273</v>
      </c>
      <c r="G120" s="90">
        <f t="shared" si="18"/>
        <v>76.732</v>
      </c>
      <c r="H120" s="90">
        <f t="shared" si="18"/>
        <v>271.22</v>
      </c>
      <c r="I120" s="90">
        <f t="shared" si="18"/>
        <v>86.41000000000001</v>
      </c>
      <c r="J120" s="90">
        <f t="shared" si="18"/>
        <v>378.66</v>
      </c>
      <c r="K120" s="90">
        <f t="shared" si="18"/>
        <v>3.6649999999999996</v>
      </c>
      <c r="L120" s="90">
        <f t="shared" si="18"/>
        <v>10.342500000000001</v>
      </c>
      <c r="M120" s="90">
        <f t="shared" si="18"/>
        <v>0.1691</v>
      </c>
      <c r="N120" s="90">
        <f t="shared" si="18"/>
        <v>0.34080000000000005</v>
      </c>
      <c r="O120" s="90">
        <f t="shared" si="18"/>
        <v>6.425</v>
      </c>
      <c r="P120" s="91">
        <f t="shared" si="18"/>
        <v>629.96</v>
      </c>
      <c r="Q120" s="120"/>
    </row>
    <row r="121" spans="1:17" s="123" customFormat="1" ht="16.5" customHeight="1">
      <c r="A121" s="65" t="s">
        <v>19</v>
      </c>
      <c r="B121" s="66"/>
      <c r="C121" s="66"/>
      <c r="D121" s="67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9"/>
      <c r="Q121" s="122"/>
    </row>
    <row r="122" spans="1:17" s="19" customFormat="1" ht="16.5" customHeight="1">
      <c r="A122" s="216" t="s">
        <v>0</v>
      </c>
      <c r="B122" s="185" t="s">
        <v>40</v>
      </c>
      <c r="C122" s="185" t="s">
        <v>41</v>
      </c>
      <c r="D122" s="213" t="s">
        <v>42</v>
      </c>
      <c r="E122" s="189" t="s">
        <v>1</v>
      </c>
      <c r="F122" s="189"/>
      <c r="G122" s="189"/>
      <c r="H122" s="189" t="s">
        <v>3</v>
      </c>
      <c r="I122" s="189"/>
      <c r="J122" s="189"/>
      <c r="K122" s="189"/>
      <c r="L122" s="206" t="s">
        <v>2</v>
      </c>
      <c r="M122" s="207"/>
      <c r="N122" s="207"/>
      <c r="O122" s="207"/>
      <c r="P122" s="210" t="s">
        <v>43</v>
      </c>
      <c r="Q122" s="58"/>
    </row>
    <row r="123" spans="1:17" s="19" customFormat="1" ht="16.5" customHeight="1">
      <c r="A123" s="217"/>
      <c r="B123" s="185"/>
      <c r="C123" s="185"/>
      <c r="D123" s="214"/>
      <c r="E123" s="189"/>
      <c r="F123" s="189"/>
      <c r="G123" s="189"/>
      <c r="H123" s="189" t="s">
        <v>4</v>
      </c>
      <c r="I123" s="189"/>
      <c r="J123" s="189"/>
      <c r="K123" s="189"/>
      <c r="L123" s="208"/>
      <c r="M123" s="209"/>
      <c r="N123" s="209"/>
      <c r="O123" s="209"/>
      <c r="P123" s="211"/>
      <c r="Q123" s="58"/>
    </row>
    <row r="124" spans="1:17" s="19" customFormat="1" ht="16.5" customHeight="1">
      <c r="A124" s="218"/>
      <c r="B124" s="185"/>
      <c r="C124" s="185"/>
      <c r="D124" s="215"/>
      <c r="E124" s="18" t="s">
        <v>5</v>
      </c>
      <c r="F124" s="18" t="s">
        <v>6</v>
      </c>
      <c r="G124" s="18" t="s">
        <v>7</v>
      </c>
      <c r="H124" s="18" t="s">
        <v>10</v>
      </c>
      <c r="I124" s="18" t="s">
        <v>12</v>
      </c>
      <c r="J124" s="18" t="s">
        <v>11</v>
      </c>
      <c r="K124" s="18" t="s">
        <v>13</v>
      </c>
      <c r="L124" s="18" t="s">
        <v>9</v>
      </c>
      <c r="M124" s="18" t="s">
        <v>51</v>
      </c>
      <c r="N124" s="18" t="s">
        <v>52</v>
      </c>
      <c r="O124" s="18" t="s">
        <v>8</v>
      </c>
      <c r="P124" s="212"/>
      <c r="Q124" s="58"/>
    </row>
    <row r="125" spans="1:17" s="11" customFormat="1" ht="33" customHeight="1">
      <c r="A125" s="186" t="s">
        <v>33</v>
      </c>
      <c r="B125" s="187"/>
      <c r="C125" s="188"/>
      <c r="D125" s="10">
        <v>250</v>
      </c>
      <c r="E125" s="16">
        <f>E126+E127+E128+E129+E130+E131</f>
        <v>7.1000000000000005</v>
      </c>
      <c r="F125" s="16">
        <f aca="true" t="shared" si="19" ref="F125:P125">F126+F127+F128+F129+F130+F131</f>
        <v>8.305</v>
      </c>
      <c r="G125" s="16">
        <f t="shared" si="19"/>
        <v>24.295</v>
      </c>
      <c r="H125" s="16">
        <f t="shared" si="19"/>
        <v>21.05</v>
      </c>
      <c r="I125" s="16">
        <f t="shared" si="19"/>
        <v>37.2</v>
      </c>
      <c r="J125" s="16">
        <f t="shared" si="19"/>
        <v>127.65</v>
      </c>
      <c r="K125" s="16">
        <f t="shared" si="19"/>
        <v>1.7349999999999999</v>
      </c>
      <c r="L125" s="16">
        <f t="shared" si="19"/>
        <v>0.9355</v>
      </c>
      <c r="M125" s="16">
        <f t="shared" si="19"/>
        <v>0.15649999999999997</v>
      </c>
      <c r="N125" s="16">
        <f t="shared" si="19"/>
        <v>0.08449999999999999</v>
      </c>
      <c r="O125" s="16">
        <f t="shared" si="19"/>
        <v>19.5</v>
      </c>
      <c r="P125" s="71">
        <f t="shared" si="19"/>
        <v>189.7</v>
      </c>
      <c r="Q125" s="56"/>
    </row>
    <row r="126" spans="1:17" ht="16.5" customHeight="1">
      <c r="A126" s="72" t="s">
        <v>77</v>
      </c>
      <c r="B126" s="20">
        <v>125</v>
      </c>
      <c r="C126" s="20">
        <v>90</v>
      </c>
      <c r="D126" s="9"/>
      <c r="E126" s="21">
        <f>2*C126/100</f>
        <v>1.8</v>
      </c>
      <c r="F126" s="21">
        <f>0.1*C126/100</f>
        <v>0.09</v>
      </c>
      <c r="G126" s="21">
        <f>19.7*C126/100</f>
        <v>17.73</v>
      </c>
      <c r="H126" s="21">
        <f>10*C126/100</f>
        <v>9</v>
      </c>
      <c r="I126" s="21">
        <f>23*C126/100</f>
        <v>20.7</v>
      </c>
      <c r="J126" s="21">
        <f>58*C126/100</f>
        <v>52.2</v>
      </c>
      <c r="K126" s="21">
        <f>0.9*C126/100</f>
        <v>0.81</v>
      </c>
      <c r="L126" s="21">
        <f>0.02*C126/100</f>
        <v>0.018000000000000002</v>
      </c>
      <c r="M126" s="21">
        <f>0.12*C126/100</f>
        <v>0.10799999999999998</v>
      </c>
      <c r="N126" s="21">
        <f>0.05*C126/100</f>
        <v>0.045</v>
      </c>
      <c r="O126" s="21">
        <f>20*C126/100</f>
        <v>18</v>
      </c>
      <c r="P126" s="73">
        <f>83*C126/100</f>
        <v>74.7</v>
      </c>
      <c r="Q126" s="55"/>
    </row>
    <row r="127" spans="1:17" ht="16.5" customHeight="1">
      <c r="A127" s="72" t="s">
        <v>46</v>
      </c>
      <c r="B127" s="20">
        <v>12</v>
      </c>
      <c r="C127" s="20">
        <v>10</v>
      </c>
      <c r="D127" s="9"/>
      <c r="E127" s="23">
        <f>1.7*C127/100</f>
        <v>0.17</v>
      </c>
      <c r="F127" s="23">
        <v>0</v>
      </c>
      <c r="G127" s="23">
        <f>9.5*C127/100</f>
        <v>0.95</v>
      </c>
      <c r="H127" s="23">
        <f>31*C127/100</f>
        <v>3.1</v>
      </c>
      <c r="I127" s="23">
        <f>14*C127/100</f>
        <v>1.4</v>
      </c>
      <c r="J127" s="23">
        <f>58*C127/100</f>
        <v>5.8</v>
      </c>
      <c r="K127" s="23">
        <f>0.8*C127/100</f>
        <v>0.08</v>
      </c>
      <c r="L127" s="23">
        <v>0</v>
      </c>
      <c r="M127" s="23">
        <v>0</v>
      </c>
      <c r="N127" s="23">
        <v>0</v>
      </c>
      <c r="O127" s="23">
        <f>10*C127/100</f>
        <v>1</v>
      </c>
      <c r="P127" s="74">
        <f>43*C127/100</f>
        <v>4.3</v>
      </c>
      <c r="Q127" s="55"/>
    </row>
    <row r="128" spans="1:17" ht="16.5" customHeight="1">
      <c r="A128" s="72" t="s">
        <v>47</v>
      </c>
      <c r="B128" s="20">
        <v>13</v>
      </c>
      <c r="C128" s="20">
        <v>10</v>
      </c>
      <c r="D128" s="9"/>
      <c r="E128" s="24">
        <f>1.3*C128/100</f>
        <v>0.13</v>
      </c>
      <c r="F128" s="24"/>
      <c r="G128" s="24">
        <f>7*C128/100</f>
        <v>0.7</v>
      </c>
      <c r="H128" s="24">
        <f>51*C128/100</f>
        <v>5.1</v>
      </c>
      <c r="I128" s="24">
        <f>38*C128/100</f>
        <v>3.8</v>
      </c>
      <c r="J128" s="24">
        <f>55*C128/100</f>
        <v>5.5</v>
      </c>
      <c r="K128" s="24">
        <f>1.2*C128/100</f>
        <v>0.12</v>
      </c>
      <c r="L128" s="24">
        <f>9*C128/100</f>
        <v>0.9</v>
      </c>
      <c r="M128" s="24">
        <v>0</v>
      </c>
      <c r="N128" s="24">
        <v>0</v>
      </c>
      <c r="O128" s="24">
        <f>5*C128/100</f>
        <v>0.5</v>
      </c>
      <c r="P128" s="75">
        <f>33*C128/100</f>
        <v>3.3</v>
      </c>
      <c r="Q128" s="55"/>
    </row>
    <row r="129" spans="1:17" ht="16.5" customHeight="1">
      <c r="A129" s="72" t="s">
        <v>59</v>
      </c>
      <c r="B129" s="20">
        <v>5</v>
      </c>
      <c r="C129" s="20">
        <v>5</v>
      </c>
      <c r="D129" s="9"/>
      <c r="E129" s="14"/>
      <c r="F129" s="3">
        <f>99.9*C129/100</f>
        <v>4.995</v>
      </c>
      <c r="G129" s="3"/>
      <c r="H129" s="3"/>
      <c r="I129" s="3"/>
      <c r="J129" s="3"/>
      <c r="K129" s="3"/>
      <c r="L129" s="3"/>
      <c r="M129" s="3"/>
      <c r="N129" s="3"/>
      <c r="O129" s="3"/>
      <c r="P129" s="76">
        <f>899*C129/100</f>
        <v>44.95</v>
      </c>
      <c r="Q129" s="55"/>
    </row>
    <row r="130" spans="1:17" ht="16.5" customHeight="1">
      <c r="A130" s="72" t="s">
        <v>68</v>
      </c>
      <c r="B130" s="20">
        <v>5</v>
      </c>
      <c r="C130" s="20">
        <v>5</v>
      </c>
      <c r="D130" s="9"/>
      <c r="E130" s="23">
        <f>12*C130/100</f>
        <v>0.6</v>
      </c>
      <c r="F130" s="23">
        <f>2.9*C130/100</f>
        <v>0.145</v>
      </c>
      <c r="G130" s="23">
        <f>96.3*C130/100</f>
        <v>4.815</v>
      </c>
      <c r="H130" s="23">
        <f>27*C130/100</f>
        <v>1.35</v>
      </c>
      <c r="I130" s="23">
        <f>101*C130/100</f>
        <v>5.05</v>
      </c>
      <c r="J130" s="23">
        <f>233*C130/100</f>
        <v>11.65</v>
      </c>
      <c r="K130" s="23">
        <f>7*C130/100</f>
        <v>0.35</v>
      </c>
      <c r="L130" s="23">
        <f>0.15*C130/100</f>
        <v>0.0075</v>
      </c>
      <c r="M130" s="23">
        <f>0.62*C130/100</f>
        <v>0.031</v>
      </c>
      <c r="N130" s="23">
        <f>0.04*C130/100</f>
        <v>0.002</v>
      </c>
      <c r="O130" s="23"/>
      <c r="P130" s="74">
        <f>334*C130/100</f>
        <v>16.7</v>
      </c>
      <c r="Q130" s="55"/>
    </row>
    <row r="131" spans="1:17" ht="16.5" customHeight="1">
      <c r="A131" s="72" t="s">
        <v>79</v>
      </c>
      <c r="B131" s="20">
        <v>33</v>
      </c>
      <c r="C131" s="20">
        <v>25</v>
      </c>
      <c r="D131" s="9"/>
      <c r="E131" s="3">
        <f>17.6*C131/100</f>
        <v>4.4</v>
      </c>
      <c r="F131" s="3">
        <f>12.3*C131/100</f>
        <v>3.075</v>
      </c>
      <c r="G131" s="3">
        <f>0.4*C131/100</f>
        <v>0.1</v>
      </c>
      <c r="H131" s="3">
        <f>10*C131/100</f>
        <v>2.5</v>
      </c>
      <c r="I131" s="3">
        <f>25*C131/100</f>
        <v>6.25</v>
      </c>
      <c r="J131" s="3">
        <f>210*C131/100</f>
        <v>52.5</v>
      </c>
      <c r="K131" s="3">
        <f>1.5*C131/100</f>
        <v>0.375</v>
      </c>
      <c r="L131" s="3">
        <f>0.04*C131/100</f>
        <v>0.01</v>
      </c>
      <c r="M131" s="3">
        <f>0.07*C131/100</f>
        <v>0.0175</v>
      </c>
      <c r="N131" s="3">
        <f>0.15*C131/100</f>
        <v>0.0375</v>
      </c>
      <c r="O131" s="3"/>
      <c r="P131" s="76">
        <f>183*C131/100</f>
        <v>45.75</v>
      </c>
      <c r="Q131" s="55"/>
    </row>
    <row r="132" spans="1:17" s="11" customFormat="1" ht="16.5" customHeight="1">
      <c r="A132" s="186" t="s">
        <v>34</v>
      </c>
      <c r="B132" s="187"/>
      <c r="C132" s="188"/>
      <c r="D132" s="10">
        <v>140</v>
      </c>
      <c r="E132" s="16">
        <f>E133+E134+E135</f>
        <v>20.225</v>
      </c>
      <c r="F132" s="16">
        <f aca="true" t="shared" si="20" ref="F132:P132">F133+F134+F135</f>
        <v>18.06</v>
      </c>
      <c r="G132" s="16">
        <f t="shared" si="20"/>
        <v>24.045</v>
      </c>
      <c r="H132" s="16">
        <f t="shared" si="20"/>
        <v>103.60000000000001</v>
      </c>
      <c r="I132" s="16">
        <f t="shared" si="20"/>
        <v>32.15</v>
      </c>
      <c r="J132" s="16">
        <f t="shared" si="20"/>
        <v>276.2</v>
      </c>
      <c r="K132" s="16">
        <f t="shared" si="20"/>
        <v>1.93</v>
      </c>
      <c r="L132" s="16">
        <f t="shared" si="20"/>
        <v>0.02</v>
      </c>
      <c r="M132" s="16">
        <f t="shared" si="20"/>
        <v>0</v>
      </c>
      <c r="N132" s="16">
        <f t="shared" si="20"/>
        <v>0</v>
      </c>
      <c r="O132" s="16">
        <f t="shared" si="20"/>
        <v>0.64</v>
      </c>
      <c r="P132" s="71">
        <f t="shared" si="20"/>
        <v>340.4</v>
      </c>
      <c r="Q132" s="56"/>
    </row>
    <row r="133" spans="1:17" s="22" customFormat="1" ht="16.5" customHeight="1">
      <c r="A133" s="72" t="s">
        <v>81</v>
      </c>
      <c r="B133" s="20">
        <v>160</v>
      </c>
      <c r="C133" s="20">
        <v>160</v>
      </c>
      <c r="D133" s="20"/>
      <c r="E133" s="23">
        <f>12.6*C133/100</f>
        <v>20.16</v>
      </c>
      <c r="F133" s="23">
        <f>5.9*C133/100</f>
        <v>9.44</v>
      </c>
      <c r="G133" s="23">
        <f>15*C133/100</f>
        <v>24</v>
      </c>
      <c r="H133" s="23">
        <f>64*C133/100</f>
        <v>102.4</v>
      </c>
      <c r="I133" s="23">
        <v>32</v>
      </c>
      <c r="J133" s="23">
        <f>172*C133/100</f>
        <v>275.2</v>
      </c>
      <c r="K133" s="23">
        <f>1.2*C133/100</f>
        <v>1.92</v>
      </c>
      <c r="L133" s="23"/>
      <c r="M133" s="23"/>
      <c r="N133" s="23"/>
      <c r="O133" s="23">
        <f>0.4*C133/100</f>
        <v>0.64</v>
      </c>
      <c r="P133" s="74">
        <f>164*C133/100</f>
        <v>262.4</v>
      </c>
      <c r="Q133" s="59"/>
    </row>
    <row r="134" spans="1:17" s="22" customFormat="1" ht="16.5" customHeight="1">
      <c r="A134" s="72" t="s">
        <v>59</v>
      </c>
      <c r="B134" s="20">
        <v>5</v>
      </c>
      <c r="C134" s="20">
        <v>5</v>
      </c>
      <c r="D134" s="20"/>
      <c r="E134" s="23"/>
      <c r="F134" s="3">
        <f>99.9*C134/100</f>
        <v>4.995</v>
      </c>
      <c r="G134" s="3"/>
      <c r="H134" s="3"/>
      <c r="I134" s="3"/>
      <c r="J134" s="3"/>
      <c r="K134" s="3"/>
      <c r="L134" s="3"/>
      <c r="M134" s="3"/>
      <c r="N134" s="3"/>
      <c r="O134" s="3"/>
      <c r="P134" s="76">
        <f>899*C134/100</f>
        <v>44.95</v>
      </c>
      <c r="Q134" s="59"/>
    </row>
    <row r="135" spans="1:17" s="22" customFormat="1" ht="16.5" customHeight="1">
      <c r="A135" s="72" t="s">
        <v>63</v>
      </c>
      <c r="B135" s="20">
        <v>5</v>
      </c>
      <c r="C135" s="20">
        <v>5</v>
      </c>
      <c r="D135" s="20"/>
      <c r="E135" s="3">
        <f>1.3*C135/100</f>
        <v>0.065</v>
      </c>
      <c r="F135" s="3">
        <f>72.5*C135/100</f>
        <v>3.625</v>
      </c>
      <c r="G135" s="3">
        <f>0.9*C135/100</f>
        <v>0.045</v>
      </c>
      <c r="H135" s="3">
        <f>24*C135/100</f>
        <v>1.2</v>
      </c>
      <c r="I135" s="3">
        <f>3*C135/100</f>
        <v>0.15</v>
      </c>
      <c r="J135" s="3">
        <f>20*C135/100</f>
        <v>1</v>
      </c>
      <c r="K135" s="3">
        <f>0.2*C135/100</f>
        <v>0.01</v>
      </c>
      <c r="L135" s="3">
        <f>0.4*C135/100</f>
        <v>0.02</v>
      </c>
      <c r="M135" s="3"/>
      <c r="N135" s="3"/>
      <c r="O135" s="3"/>
      <c r="P135" s="76">
        <f>661*C135/100</f>
        <v>33.05</v>
      </c>
      <c r="Q135" s="59"/>
    </row>
    <row r="136" spans="1:17" s="11" customFormat="1" ht="16.5" customHeight="1">
      <c r="A136" s="186" t="s">
        <v>35</v>
      </c>
      <c r="B136" s="187"/>
      <c r="C136" s="188"/>
      <c r="D136" s="10">
        <v>180</v>
      </c>
      <c r="E136" s="16">
        <f>E137+E138+E139+E140+E141+E142+E143</f>
        <v>4.138000000000001</v>
      </c>
      <c r="F136" s="16">
        <f aca="true" t="shared" si="21" ref="F136:P136">F137+F138+F139+F140+F141+F142+F143</f>
        <v>7.011</v>
      </c>
      <c r="G136" s="16">
        <f t="shared" si="21"/>
        <v>18.786</v>
      </c>
      <c r="H136" s="16">
        <f t="shared" si="21"/>
        <v>101.77999999999999</v>
      </c>
      <c r="I136" s="16">
        <f t="shared" si="21"/>
        <v>34.96</v>
      </c>
      <c r="J136" s="16">
        <f t="shared" si="21"/>
        <v>73.36</v>
      </c>
      <c r="K136" s="16">
        <f t="shared" si="21"/>
        <v>2.2310000000000003</v>
      </c>
      <c r="L136" s="16">
        <f t="shared" si="21"/>
        <v>0.472</v>
      </c>
      <c r="M136" s="16">
        <f t="shared" si="21"/>
        <v>0.1234</v>
      </c>
      <c r="N136" s="16">
        <f t="shared" si="21"/>
        <v>0.1</v>
      </c>
      <c r="O136" s="16">
        <f t="shared" si="21"/>
        <v>102.04</v>
      </c>
      <c r="P136" s="71">
        <f t="shared" si="21"/>
        <v>151.45</v>
      </c>
      <c r="Q136" s="56"/>
    </row>
    <row r="137" spans="1:17" s="22" customFormat="1" ht="16.5" customHeight="1">
      <c r="A137" s="72" t="s">
        <v>46</v>
      </c>
      <c r="B137" s="20">
        <v>9</v>
      </c>
      <c r="C137" s="20">
        <v>8</v>
      </c>
      <c r="D137" s="20"/>
      <c r="E137" s="23">
        <f>1.7*C137/100</f>
        <v>0.136</v>
      </c>
      <c r="F137" s="23">
        <v>0</v>
      </c>
      <c r="G137" s="23">
        <f>9.5*C137/100</f>
        <v>0.76</v>
      </c>
      <c r="H137" s="23">
        <f>31*C137/100</f>
        <v>2.48</v>
      </c>
      <c r="I137" s="23">
        <f>14*C137/100</f>
        <v>1.12</v>
      </c>
      <c r="J137" s="23">
        <f>58*C137/100</f>
        <v>4.64</v>
      </c>
      <c r="K137" s="23">
        <f>0.8*C137/100</f>
        <v>0.064</v>
      </c>
      <c r="L137" s="23">
        <v>0</v>
      </c>
      <c r="M137" s="23">
        <v>0</v>
      </c>
      <c r="N137" s="23">
        <v>0</v>
      </c>
      <c r="O137" s="23">
        <f>10*C137/100</f>
        <v>0.8</v>
      </c>
      <c r="P137" s="74">
        <f>43*C137/100</f>
        <v>3.44</v>
      </c>
      <c r="Q137" s="59"/>
    </row>
    <row r="138" spans="1:17" s="22" customFormat="1" ht="16.5" customHeight="1">
      <c r="A138" s="72" t="s">
        <v>47</v>
      </c>
      <c r="B138" s="20">
        <v>5</v>
      </c>
      <c r="C138" s="20">
        <v>4</v>
      </c>
      <c r="D138" s="20"/>
      <c r="E138" s="24">
        <f>1.3*C138/100</f>
        <v>0.052000000000000005</v>
      </c>
      <c r="F138" s="24"/>
      <c r="G138" s="24">
        <f>7*C138/100</f>
        <v>0.28</v>
      </c>
      <c r="H138" s="24">
        <f>51*C138/100</f>
        <v>2.04</v>
      </c>
      <c r="I138" s="24">
        <f>38*C138/100</f>
        <v>1.52</v>
      </c>
      <c r="J138" s="24">
        <f>55*C138/100</f>
        <v>2.2</v>
      </c>
      <c r="K138" s="24">
        <f>1.2*C138/100</f>
        <v>0.048</v>
      </c>
      <c r="L138" s="24">
        <f>9*C138/100</f>
        <v>0.36</v>
      </c>
      <c r="M138" s="24">
        <v>0</v>
      </c>
      <c r="N138" s="24">
        <v>0</v>
      </c>
      <c r="O138" s="24">
        <f>5*C138/100</f>
        <v>0.2</v>
      </c>
      <c r="P138" s="75">
        <f>33*C138/100</f>
        <v>1.32</v>
      </c>
      <c r="Q138" s="59"/>
    </row>
    <row r="139" spans="1:17" s="22" customFormat="1" ht="16.5" customHeight="1">
      <c r="A139" s="95" t="s">
        <v>59</v>
      </c>
      <c r="B139" s="20">
        <v>7</v>
      </c>
      <c r="C139" s="20">
        <v>7</v>
      </c>
      <c r="D139" s="20"/>
      <c r="E139" s="23"/>
      <c r="F139" s="3">
        <f>99.9*C139/100</f>
        <v>6.993</v>
      </c>
      <c r="G139" s="3"/>
      <c r="H139" s="3"/>
      <c r="I139" s="3"/>
      <c r="J139" s="3"/>
      <c r="K139" s="3"/>
      <c r="L139" s="3"/>
      <c r="M139" s="3"/>
      <c r="N139" s="3"/>
      <c r="O139" s="3"/>
      <c r="P139" s="76">
        <f>899*C139/100</f>
        <v>62.93</v>
      </c>
      <c r="Q139" s="59"/>
    </row>
    <row r="140" spans="1:17" s="22" customFormat="1" ht="16.5" customHeight="1">
      <c r="A140" s="72" t="s">
        <v>80</v>
      </c>
      <c r="B140" s="20">
        <v>250</v>
      </c>
      <c r="C140" s="20">
        <v>200</v>
      </c>
      <c r="D140" s="20"/>
      <c r="E140" s="24">
        <f>1.8*C140/100</f>
        <v>3.6</v>
      </c>
      <c r="F140" s="24"/>
      <c r="G140" s="24">
        <f>5.4*C140/100</f>
        <v>10.8</v>
      </c>
      <c r="H140" s="24">
        <f>48*C140/100</f>
        <v>96</v>
      </c>
      <c r="I140" s="24">
        <f>16*C140/100</f>
        <v>32</v>
      </c>
      <c r="J140" s="24">
        <f>31*C140/100</f>
        <v>62</v>
      </c>
      <c r="K140" s="24">
        <f>1*C140/100</f>
        <v>2</v>
      </c>
      <c r="L140" s="24">
        <f>0.02*C140/100</f>
        <v>0.04</v>
      </c>
      <c r="M140" s="24">
        <f>0.06*C140/100</f>
        <v>0.12</v>
      </c>
      <c r="N140" s="24">
        <f>0.05*C140/100</f>
        <v>0.1</v>
      </c>
      <c r="O140" s="24">
        <f>50*C140/100</f>
        <v>100</v>
      </c>
      <c r="P140" s="75">
        <f>28*C140/100</f>
        <v>56</v>
      </c>
      <c r="Q140" s="59"/>
    </row>
    <row r="141" spans="1:17" s="22" customFormat="1" ht="16.5" customHeight="1">
      <c r="A141" s="72" t="s">
        <v>60</v>
      </c>
      <c r="B141" s="20">
        <v>4</v>
      </c>
      <c r="C141" s="20">
        <v>4</v>
      </c>
      <c r="D141" s="20"/>
      <c r="E141" s="21">
        <f>3.6*C141/100</f>
        <v>0.14400000000000002</v>
      </c>
      <c r="F141" s="21"/>
      <c r="G141" s="21">
        <f>11.8*C141/100</f>
        <v>0.47200000000000003</v>
      </c>
      <c r="H141" s="21">
        <f>20*C141/100</f>
        <v>0.8</v>
      </c>
      <c r="I141" s="21"/>
      <c r="J141" s="21">
        <f>70*C141/100</f>
        <v>2.8</v>
      </c>
      <c r="K141" s="21">
        <f>2*C141/100</f>
        <v>0.08</v>
      </c>
      <c r="L141" s="21">
        <f>1.8*C141/100</f>
        <v>0.07200000000000001</v>
      </c>
      <c r="M141" s="21"/>
      <c r="N141" s="21"/>
      <c r="O141" s="21">
        <f>26*C141/100</f>
        <v>1.04</v>
      </c>
      <c r="P141" s="73">
        <f>63*C141/100</f>
        <v>2.52</v>
      </c>
      <c r="Q141" s="59"/>
    </row>
    <row r="142" spans="1:17" s="22" customFormat="1" ht="16.5" customHeight="1">
      <c r="A142" s="72" t="s">
        <v>53</v>
      </c>
      <c r="B142" s="20">
        <v>5</v>
      </c>
      <c r="C142" s="20">
        <v>5</v>
      </c>
      <c r="D142" s="20"/>
      <c r="E142" s="21"/>
      <c r="F142" s="21"/>
      <c r="G142" s="3">
        <f>99.8*C142/100</f>
        <v>4.99</v>
      </c>
      <c r="H142" s="3">
        <f>2*C142/100</f>
        <v>0.1</v>
      </c>
      <c r="I142" s="3"/>
      <c r="J142" s="3"/>
      <c r="K142" s="3">
        <f>0.3*C142/100</f>
        <v>0.015</v>
      </c>
      <c r="L142" s="3"/>
      <c r="M142" s="3"/>
      <c r="N142" s="3"/>
      <c r="O142" s="3"/>
      <c r="P142" s="76">
        <f>374*C142/100</f>
        <v>18.7</v>
      </c>
      <c r="Q142" s="59"/>
    </row>
    <row r="143" spans="1:17" s="22" customFormat="1" ht="16.5" customHeight="1">
      <c r="A143" s="72" t="s">
        <v>64</v>
      </c>
      <c r="B143" s="20">
        <v>2</v>
      </c>
      <c r="C143" s="20">
        <v>2</v>
      </c>
      <c r="D143" s="20"/>
      <c r="E143" s="3">
        <f>10.3*C143/100</f>
        <v>0.20600000000000002</v>
      </c>
      <c r="F143" s="3">
        <f>0.9*C143/100</f>
        <v>0.018000000000000002</v>
      </c>
      <c r="G143" s="3">
        <f>74.2*C143/100</f>
        <v>1.484</v>
      </c>
      <c r="H143" s="3">
        <f>18*C143/100</f>
        <v>0.36</v>
      </c>
      <c r="I143" s="3">
        <f>16*C143/100</f>
        <v>0.32</v>
      </c>
      <c r="J143" s="3">
        <f>86*C143/100</f>
        <v>1.72</v>
      </c>
      <c r="K143" s="3">
        <f>1.2*C143/100</f>
        <v>0.024</v>
      </c>
      <c r="L143" s="3"/>
      <c r="M143" s="3">
        <f>0.17*C143/100</f>
        <v>0.0034000000000000002</v>
      </c>
      <c r="N143" s="3"/>
      <c r="O143" s="3"/>
      <c r="P143" s="76">
        <f>327*C143/100</f>
        <v>6.54</v>
      </c>
      <c r="Q143" s="59"/>
    </row>
    <row r="144" spans="1:17" s="11" customFormat="1" ht="16.5" customHeight="1">
      <c r="A144" s="186" t="s">
        <v>15</v>
      </c>
      <c r="B144" s="187"/>
      <c r="C144" s="188"/>
      <c r="D144" s="10">
        <v>200</v>
      </c>
      <c r="E144" s="16">
        <f>E145+E146</f>
        <v>0.614</v>
      </c>
      <c r="F144" s="16">
        <f aca="true" t="shared" si="22" ref="F144:P144">F145+F146</f>
        <v>0</v>
      </c>
      <c r="G144" s="16">
        <f t="shared" si="22"/>
        <v>33.384</v>
      </c>
      <c r="H144" s="16">
        <f t="shared" si="22"/>
        <v>20.799999999999997</v>
      </c>
      <c r="I144" s="16">
        <f t="shared" si="22"/>
        <v>16.8</v>
      </c>
      <c r="J144" s="16">
        <f t="shared" si="22"/>
        <v>22.6</v>
      </c>
      <c r="K144" s="16">
        <f t="shared" si="22"/>
        <v>2.2600000000000002</v>
      </c>
      <c r="L144" s="16">
        <f t="shared" si="22"/>
        <v>0.7</v>
      </c>
      <c r="M144" s="16">
        <f t="shared" si="22"/>
        <v>0.014000000000000002</v>
      </c>
      <c r="N144" s="16">
        <f t="shared" si="22"/>
        <v>0</v>
      </c>
      <c r="O144" s="16">
        <f t="shared" si="22"/>
        <v>0.7</v>
      </c>
      <c r="P144" s="71">
        <f t="shared" si="22"/>
        <v>128.4</v>
      </c>
      <c r="Q144" s="56"/>
    </row>
    <row r="145" spans="1:16" s="25" customFormat="1" ht="16.5" customHeight="1">
      <c r="A145" s="96" t="s">
        <v>54</v>
      </c>
      <c r="B145" s="2">
        <v>20</v>
      </c>
      <c r="C145" s="2">
        <v>20</v>
      </c>
      <c r="D145" s="2"/>
      <c r="E145" s="3">
        <f>3.07*C145/100</f>
        <v>0.614</v>
      </c>
      <c r="F145" s="3"/>
      <c r="G145" s="3">
        <f>67.12*C145/100</f>
        <v>13.424000000000001</v>
      </c>
      <c r="H145" s="3">
        <f>102*C145/100</f>
        <v>20.4</v>
      </c>
      <c r="I145" s="3">
        <f>84*C145/100</f>
        <v>16.8</v>
      </c>
      <c r="J145" s="3">
        <f>113*C145/100</f>
        <v>22.6</v>
      </c>
      <c r="K145" s="3">
        <f>11*C145/100</f>
        <v>2.2</v>
      </c>
      <c r="L145" s="3">
        <f>3.5*C145/100</f>
        <v>0.7</v>
      </c>
      <c r="M145" s="3">
        <f>0.07*C145/100</f>
        <v>0.014000000000000002</v>
      </c>
      <c r="N145" s="3"/>
      <c r="O145" s="3">
        <f>3.5*C145/100</f>
        <v>0.7</v>
      </c>
      <c r="P145" s="76">
        <f>268*C145/100</f>
        <v>53.6</v>
      </c>
    </row>
    <row r="146" spans="1:16" s="25" customFormat="1" ht="16.5" customHeight="1">
      <c r="A146" s="96" t="s">
        <v>53</v>
      </c>
      <c r="B146" s="2">
        <v>20</v>
      </c>
      <c r="C146" s="2">
        <v>20</v>
      </c>
      <c r="D146" s="2"/>
      <c r="E146" s="3"/>
      <c r="F146" s="3"/>
      <c r="G146" s="3">
        <f>99.8*C146/100</f>
        <v>19.96</v>
      </c>
      <c r="H146" s="3">
        <f>2*C146/100</f>
        <v>0.4</v>
      </c>
      <c r="I146" s="3"/>
      <c r="J146" s="3"/>
      <c r="K146" s="3">
        <f>0.3*C146/100</f>
        <v>0.06</v>
      </c>
      <c r="L146" s="3"/>
      <c r="M146" s="3"/>
      <c r="N146" s="3"/>
      <c r="O146" s="3"/>
      <c r="P146" s="76">
        <f>374*C146/100</f>
        <v>74.8</v>
      </c>
    </row>
    <row r="147" spans="1:17" ht="16.5" customHeight="1">
      <c r="A147" s="70" t="s">
        <v>16</v>
      </c>
      <c r="B147" s="9">
        <v>60</v>
      </c>
      <c r="C147" s="9">
        <v>60</v>
      </c>
      <c r="D147" s="10">
        <v>60</v>
      </c>
      <c r="E147" s="16">
        <f>7.6*C147/100</f>
        <v>4.56</v>
      </c>
      <c r="F147" s="16">
        <f>0.6*C147/100</f>
        <v>0.36</v>
      </c>
      <c r="G147" s="16">
        <f>52.3*C147/100</f>
        <v>31.38</v>
      </c>
      <c r="H147" s="16">
        <f>20*C147/100</f>
        <v>12</v>
      </c>
      <c r="I147" s="16">
        <f>14*C147/100</f>
        <v>8.4</v>
      </c>
      <c r="J147" s="16">
        <f>65*C147/100</f>
        <v>39</v>
      </c>
      <c r="K147" s="16">
        <f>0.9*C147/100</f>
        <v>0.54</v>
      </c>
      <c r="L147" s="16">
        <v>0</v>
      </c>
      <c r="M147" s="16">
        <f>0.11*C147/100</f>
        <v>0.066</v>
      </c>
      <c r="N147" s="16">
        <f>0.06*C147/100</f>
        <v>0.036</v>
      </c>
      <c r="O147" s="16">
        <v>0</v>
      </c>
      <c r="P147" s="71">
        <f>233*C147/100</f>
        <v>139.8</v>
      </c>
      <c r="Q147" s="55"/>
    </row>
    <row r="148" spans="1:17" ht="16.5" customHeight="1">
      <c r="A148" s="70" t="s">
        <v>17</v>
      </c>
      <c r="B148" s="9">
        <v>35</v>
      </c>
      <c r="C148" s="9">
        <v>35</v>
      </c>
      <c r="D148" s="10">
        <v>35</v>
      </c>
      <c r="E148" s="16">
        <f>6.5*C148/100</f>
        <v>2.275</v>
      </c>
      <c r="F148" s="16">
        <f>1*C148/100</f>
        <v>0.35</v>
      </c>
      <c r="G148" s="16">
        <f>40.1*C148/100</f>
        <v>14.035</v>
      </c>
      <c r="H148" s="16">
        <f>38*C148/100</f>
        <v>13.3</v>
      </c>
      <c r="I148" s="16">
        <f>49*C148/100</f>
        <v>17.15</v>
      </c>
      <c r="J148" s="16">
        <f>156*C148/100</f>
        <v>54.6</v>
      </c>
      <c r="K148" s="16">
        <f>2.6*C148/100</f>
        <v>0.91</v>
      </c>
      <c r="L148" s="16">
        <v>0</v>
      </c>
      <c r="M148" s="16">
        <f>0.18*C148/100</f>
        <v>0.063</v>
      </c>
      <c r="N148" s="16">
        <f>0.11*C148/100</f>
        <v>0.0385</v>
      </c>
      <c r="O148" s="16">
        <v>0</v>
      </c>
      <c r="P148" s="71">
        <f>190*C148/100</f>
        <v>66.5</v>
      </c>
      <c r="Q148" s="55"/>
    </row>
    <row r="149" spans="1:17" s="5" customFormat="1" ht="33" customHeight="1">
      <c r="A149" s="77" t="s">
        <v>22</v>
      </c>
      <c r="B149" s="4"/>
      <c r="C149" s="4"/>
      <c r="D149" s="4"/>
      <c r="E149" s="4">
        <f>E125+E132+E136+E144+E147+E148</f>
        <v>38.912000000000006</v>
      </c>
      <c r="F149" s="4">
        <f aca="true" t="shared" si="23" ref="F149:P149">F125+F132+F136+F144+F147+F148</f>
        <v>34.086</v>
      </c>
      <c r="G149" s="4">
        <f t="shared" si="23"/>
        <v>145.925</v>
      </c>
      <c r="H149" s="4">
        <f t="shared" si="23"/>
        <v>272.53000000000003</v>
      </c>
      <c r="I149" s="4">
        <f t="shared" si="23"/>
        <v>146.66</v>
      </c>
      <c r="J149" s="4">
        <f t="shared" si="23"/>
        <v>593.4100000000001</v>
      </c>
      <c r="K149" s="4">
        <f t="shared" si="23"/>
        <v>9.606000000000002</v>
      </c>
      <c r="L149" s="4">
        <f t="shared" si="23"/>
        <v>2.1275</v>
      </c>
      <c r="M149" s="4">
        <f t="shared" si="23"/>
        <v>0.4229</v>
      </c>
      <c r="N149" s="4">
        <f t="shared" si="23"/>
        <v>0.259</v>
      </c>
      <c r="O149" s="4">
        <f t="shared" si="23"/>
        <v>122.88000000000001</v>
      </c>
      <c r="P149" s="78">
        <f t="shared" si="23"/>
        <v>1016.25</v>
      </c>
      <c r="Q149" s="57"/>
    </row>
    <row r="150" spans="1:17" s="33" customFormat="1" ht="37.5" customHeight="1" thickBot="1">
      <c r="A150" s="200" t="s">
        <v>92</v>
      </c>
      <c r="B150" s="201"/>
      <c r="C150" s="202"/>
      <c r="D150" s="79"/>
      <c r="E150" s="79">
        <f aca="true" t="shared" si="24" ref="E150:P150">E120+E149</f>
        <v>61.10300000000001</v>
      </c>
      <c r="F150" s="79">
        <f t="shared" si="24"/>
        <v>53.358999999999995</v>
      </c>
      <c r="G150" s="79">
        <f t="shared" si="24"/>
        <v>222.657</v>
      </c>
      <c r="H150" s="79">
        <f t="shared" si="24"/>
        <v>543.75</v>
      </c>
      <c r="I150" s="79">
        <f t="shared" si="24"/>
        <v>233.07</v>
      </c>
      <c r="J150" s="79">
        <f t="shared" si="24"/>
        <v>972.0700000000002</v>
      </c>
      <c r="K150" s="79">
        <f t="shared" si="24"/>
        <v>13.271</v>
      </c>
      <c r="L150" s="79">
        <f t="shared" si="24"/>
        <v>12.47</v>
      </c>
      <c r="M150" s="79">
        <f t="shared" si="24"/>
        <v>0.592</v>
      </c>
      <c r="N150" s="79">
        <f t="shared" si="24"/>
        <v>0.5998000000000001</v>
      </c>
      <c r="O150" s="79">
        <f t="shared" si="24"/>
        <v>129.305</v>
      </c>
      <c r="P150" s="80">
        <f t="shared" si="24"/>
        <v>1646.21</v>
      </c>
      <c r="Q150" s="82"/>
    </row>
    <row r="151" spans="1:17" s="179" customFormat="1" ht="16.5" customHeight="1">
      <c r="A151" s="170"/>
      <c r="B151" s="170"/>
      <c r="C151" s="170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78"/>
    </row>
    <row r="152" spans="1:17" s="110" customFormat="1" ht="16.5" customHeight="1">
      <c r="A152" s="158" t="s">
        <v>155</v>
      </c>
      <c r="B152" s="15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65"/>
    </row>
    <row r="153" spans="1:17" s="110" customFormat="1" ht="16.5" customHeight="1">
      <c r="A153" s="158" t="s">
        <v>151</v>
      </c>
      <c r="B153" s="15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65"/>
    </row>
    <row r="154" spans="1:17" s="110" customFormat="1" ht="16.5" customHeight="1" thickBot="1">
      <c r="A154" s="180" t="s">
        <v>152</v>
      </c>
      <c r="B154" s="180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65"/>
    </row>
    <row r="155" spans="1:17" s="35" customFormat="1" ht="16.5" customHeight="1">
      <c r="A155" s="65" t="s">
        <v>14</v>
      </c>
      <c r="B155" s="66"/>
      <c r="C155" s="66"/>
      <c r="D155" s="67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9"/>
      <c r="Q155" s="54"/>
    </row>
    <row r="156" spans="1:17" s="19" customFormat="1" ht="16.5" customHeight="1">
      <c r="A156" s="216" t="s">
        <v>0</v>
      </c>
      <c r="B156" s="185" t="s">
        <v>40</v>
      </c>
      <c r="C156" s="185" t="s">
        <v>41</v>
      </c>
      <c r="D156" s="213" t="s">
        <v>42</v>
      </c>
      <c r="E156" s="189" t="s">
        <v>1</v>
      </c>
      <c r="F156" s="189"/>
      <c r="G156" s="189"/>
      <c r="H156" s="189" t="s">
        <v>3</v>
      </c>
      <c r="I156" s="189"/>
      <c r="J156" s="189"/>
      <c r="K156" s="189"/>
      <c r="L156" s="206" t="s">
        <v>2</v>
      </c>
      <c r="M156" s="207"/>
      <c r="N156" s="207"/>
      <c r="O156" s="207"/>
      <c r="P156" s="210" t="s">
        <v>43</v>
      </c>
      <c r="Q156" s="58"/>
    </row>
    <row r="157" spans="1:17" s="19" customFormat="1" ht="16.5" customHeight="1">
      <c r="A157" s="217"/>
      <c r="B157" s="185"/>
      <c r="C157" s="185"/>
      <c r="D157" s="214"/>
      <c r="E157" s="189"/>
      <c r="F157" s="189"/>
      <c r="G157" s="189"/>
      <c r="H157" s="189" t="s">
        <v>4</v>
      </c>
      <c r="I157" s="189"/>
      <c r="J157" s="189"/>
      <c r="K157" s="189"/>
      <c r="L157" s="208"/>
      <c r="M157" s="209"/>
      <c r="N157" s="209"/>
      <c r="O157" s="209"/>
      <c r="P157" s="211"/>
      <c r="Q157" s="58"/>
    </row>
    <row r="158" spans="1:17" s="19" customFormat="1" ht="16.5" customHeight="1">
      <c r="A158" s="218"/>
      <c r="B158" s="185"/>
      <c r="C158" s="185"/>
      <c r="D158" s="215"/>
      <c r="E158" s="18" t="s">
        <v>5</v>
      </c>
      <c r="F158" s="18" t="s">
        <v>6</v>
      </c>
      <c r="G158" s="18" t="s">
        <v>7</v>
      </c>
      <c r="H158" s="18" t="s">
        <v>10</v>
      </c>
      <c r="I158" s="18" t="s">
        <v>12</v>
      </c>
      <c r="J158" s="18" t="s">
        <v>11</v>
      </c>
      <c r="K158" s="18" t="s">
        <v>13</v>
      </c>
      <c r="L158" s="18" t="s">
        <v>9</v>
      </c>
      <c r="M158" s="18" t="s">
        <v>51</v>
      </c>
      <c r="N158" s="18" t="s">
        <v>52</v>
      </c>
      <c r="O158" s="18" t="s">
        <v>8</v>
      </c>
      <c r="P158" s="212"/>
      <c r="Q158" s="58"/>
    </row>
    <row r="159" spans="1:17" s="11" customFormat="1" ht="16.5" customHeight="1">
      <c r="A159" s="186" t="s">
        <v>39</v>
      </c>
      <c r="B159" s="187"/>
      <c r="C159" s="188"/>
      <c r="D159" s="37">
        <v>200</v>
      </c>
      <c r="E159" s="16">
        <f>E160+E161+E162+E163+E164+E165+E166</f>
        <v>22.205000000000002</v>
      </c>
      <c r="F159" s="16">
        <f aca="true" t="shared" si="25" ref="F159:P159">F160+F161+F162+F163+F164+F165+F166</f>
        <v>19.411</v>
      </c>
      <c r="G159" s="16">
        <f t="shared" si="25"/>
        <v>28.192000000000004</v>
      </c>
      <c r="H159" s="16">
        <f t="shared" si="25"/>
        <v>41.989999999999995</v>
      </c>
      <c r="I159" s="16">
        <f t="shared" si="25"/>
        <v>66.50999999999999</v>
      </c>
      <c r="J159" s="16">
        <f t="shared" si="25"/>
        <v>320.72</v>
      </c>
      <c r="K159" s="16">
        <f t="shared" si="25"/>
        <v>3.175</v>
      </c>
      <c r="L159" s="16">
        <f t="shared" si="25"/>
        <v>2.6222000000000003</v>
      </c>
      <c r="M159" s="16">
        <f t="shared" si="25"/>
        <v>0.21699999999999997</v>
      </c>
      <c r="N159" s="16">
        <f t="shared" si="25"/>
        <v>0.2195</v>
      </c>
      <c r="O159" s="16">
        <f t="shared" si="25"/>
        <v>26.419999999999998</v>
      </c>
      <c r="P159" s="71">
        <f t="shared" si="25"/>
        <v>370.52</v>
      </c>
      <c r="Q159" s="56"/>
    </row>
    <row r="160" spans="1:17" s="28" customFormat="1" ht="16.5" customHeight="1">
      <c r="A160" s="94" t="s">
        <v>49</v>
      </c>
      <c r="B160" s="20">
        <v>160</v>
      </c>
      <c r="C160" s="20">
        <v>115</v>
      </c>
      <c r="D160" s="38"/>
      <c r="E160" s="21">
        <f>2*C160/100</f>
        <v>2.3</v>
      </c>
      <c r="F160" s="21">
        <f>0.1*C160/100</f>
        <v>0.115</v>
      </c>
      <c r="G160" s="21">
        <f>19.7*C160/100</f>
        <v>22.655</v>
      </c>
      <c r="H160" s="21">
        <f>10*C160/100</f>
        <v>11.5</v>
      </c>
      <c r="I160" s="21">
        <f>23*C160/100</f>
        <v>26.45</v>
      </c>
      <c r="J160" s="21">
        <f>58*C160/100</f>
        <v>66.7</v>
      </c>
      <c r="K160" s="21">
        <f>0.9*C160/100</f>
        <v>1.035</v>
      </c>
      <c r="L160" s="21">
        <f>0.02*C160/100</f>
        <v>0.023000000000000003</v>
      </c>
      <c r="M160" s="21">
        <f>0.12*C160/100</f>
        <v>0.13799999999999998</v>
      </c>
      <c r="N160" s="21">
        <f>0.05*C160/100</f>
        <v>0.0575</v>
      </c>
      <c r="O160" s="21">
        <f>20*C160/100</f>
        <v>23</v>
      </c>
      <c r="P160" s="73">
        <f>83*C160/100</f>
        <v>95.45</v>
      </c>
      <c r="Q160" s="60"/>
    </row>
    <row r="161" spans="1:17" s="28" customFormat="1" ht="16.5" customHeight="1">
      <c r="A161" s="94" t="s">
        <v>46</v>
      </c>
      <c r="B161" s="20">
        <v>18</v>
      </c>
      <c r="C161" s="20">
        <v>15</v>
      </c>
      <c r="D161" s="38"/>
      <c r="E161" s="23">
        <f>1.7*C161/100</f>
        <v>0.255</v>
      </c>
      <c r="F161" s="23">
        <v>0</v>
      </c>
      <c r="G161" s="23">
        <f>9.5*C161/100</f>
        <v>1.425</v>
      </c>
      <c r="H161" s="23">
        <f>31*C161/100</f>
        <v>4.65</v>
      </c>
      <c r="I161" s="23">
        <f>14*C161/100</f>
        <v>2.1</v>
      </c>
      <c r="J161" s="23">
        <f>58*C161/100</f>
        <v>8.7</v>
      </c>
      <c r="K161" s="23">
        <f>0.8*C161/100</f>
        <v>0.12</v>
      </c>
      <c r="L161" s="23">
        <v>0</v>
      </c>
      <c r="M161" s="23">
        <v>0</v>
      </c>
      <c r="N161" s="23">
        <v>0</v>
      </c>
      <c r="O161" s="23">
        <f>10*C161/100</f>
        <v>1.5</v>
      </c>
      <c r="P161" s="74">
        <f>43*C161/100</f>
        <v>6.45</v>
      </c>
      <c r="Q161" s="60"/>
    </row>
    <row r="162" spans="1:17" s="28" customFormat="1" ht="16.5" customHeight="1">
      <c r="A162" s="94" t="s">
        <v>47</v>
      </c>
      <c r="B162" s="20">
        <v>35</v>
      </c>
      <c r="C162" s="20">
        <v>28</v>
      </c>
      <c r="D162" s="38"/>
      <c r="E162" s="24">
        <f>1.3*C162/100</f>
        <v>0.364</v>
      </c>
      <c r="F162" s="24"/>
      <c r="G162" s="24">
        <f>7*C162/100</f>
        <v>1.96</v>
      </c>
      <c r="H162" s="24">
        <f>51*C162/100</f>
        <v>14.28</v>
      </c>
      <c r="I162" s="24">
        <f>38*C162/100</f>
        <v>10.64</v>
      </c>
      <c r="J162" s="24">
        <f>55*C162/100</f>
        <v>15.4</v>
      </c>
      <c r="K162" s="24">
        <f>1.2*C162/100</f>
        <v>0.336</v>
      </c>
      <c r="L162" s="24">
        <f>9*C162/100</f>
        <v>2.52</v>
      </c>
      <c r="M162" s="24">
        <v>0</v>
      </c>
      <c r="N162" s="24">
        <v>0</v>
      </c>
      <c r="O162" s="24">
        <f>5*C162/100</f>
        <v>1.4</v>
      </c>
      <c r="P162" s="75">
        <f>33*C162/100</f>
        <v>9.24</v>
      </c>
      <c r="Q162" s="60"/>
    </row>
    <row r="163" spans="1:17" s="28" customFormat="1" ht="16.5" customHeight="1">
      <c r="A163" s="94" t="s">
        <v>59</v>
      </c>
      <c r="B163" s="20">
        <v>6</v>
      </c>
      <c r="C163" s="20">
        <v>6</v>
      </c>
      <c r="D163" s="38"/>
      <c r="E163" s="23"/>
      <c r="F163" s="3">
        <f>99.9*C163/100</f>
        <v>5.994000000000001</v>
      </c>
      <c r="G163" s="3"/>
      <c r="H163" s="3"/>
      <c r="I163" s="3"/>
      <c r="J163" s="3"/>
      <c r="K163" s="3"/>
      <c r="L163" s="3"/>
      <c r="M163" s="3"/>
      <c r="N163" s="3"/>
      <c r="O163" s="3"/>
      <c r="P163" s="76">
        <f>899*C163/100</f>
        <v>53.94</v>
      </c>
      <c r="Q163" s="60"/>
    </row>
    <row r="164" spans="1:17" s="28" customFormat="1" ht="16.5" customHeight="1">
      <c r="A164" s="94" t="s">
        <v>60</v>
      </c>
      <c r="B164" s="20">
        <v>2</v>
      </c>
      <c r="C164" s="20">
        <v>2</v>
      </c>
      <c r="D164" s="38"/>
      <c r="E164" s="21">
        <f>3.6*C164/100</f>
        <v>0.07200000000000001</v>
      </c>
      <c r="F164" s="21"/>
      <c r="G164" s="21">
        <f>11.8*C164/100</f>
        <v>0.23600000000000002</v>
      </c>
      <c r="H164" s="21">
        <f>20*C164/100</f>
        <v>0.4</v>
      </c>
      <c r="I164" s="21"/>
      <c r="J164" s="21">
        <f>70*C164/100</f>
        <v>1.4</v>
      </c>
      <c r="K164" s="21">
        <f>2*C164/100</f>
        <v>0.04</v>
      </c>
      <c r="L164" s="21">
        <f>1.8*C164/100</f>
        <v>0.036000000000000004</v>
      </c>
      <c r="M164" s="21"/>
      <c r="N164" s="21"/>
      <c r="O164" s="21">
        <f>26*C164/100</f>
        <v>0.52</v>
      </c>
      <c r="P164" s="73">
        <f>63*C164/100</f>
        <v>1.26</v>
      </c>
      <c r="Q164" s="60"/>
    </row>
    <row r="165" spans="1:17" s="28" customFormat="1" ht="16.5" customHeight="1">
      <c r="A165" s="94" t="s">
        <v>64</v>
      </c>
      <c r="B165" s="20">
        <v>2</v>
      </c>
      <c r="C165" s="20">
        <v>2</v>
      </c>
      <c r="D165" s="38"/>
      <c r="E165" s="3">
        <f>10.3*C165/100</f>
        <v>0.20600000000000002</v>
      </c>
      <c r="F165" s="3">
        <f>0.9*C165/100</f>
        <v>0.018000000000000002</v>
      </c>
      <c r="G165" s="3">
        <f>74.2*C165/100</f>
        <v>1.484</v>
      </c>
      <c r="H165" s="3">
        <f>18*C165/100</f>
        <v>0.36</v>
      </c>
      <c r="I165" s="3">
        <f>16*C165/100</f>
        <v>0.32</v>
      </c>
      <c r="J165" s="3">
        <f>86*C165/100</f>
        <v>1.72</v>
      </c>
      <c r="K165" s="3">
        <f>1.2*C165/100</f>
        <v>0.024</v>
      </c>
      <c r="L165" s="3"/>
      <c r="M165" s="3">
        <f>0.17*C165/100</f>
        <v>0.0034000000000000002</v>
      </c>
      <c r="N165" s="3"/>
      <c r="O165" s="3"/>
      <c r="P165" s="76">
        <f>327*C165/100</f>
        <v>6.54</v>
      </c>
      <c r="Q165" s="60"/>
    </row>
    <row r="166" spans="1:17" s="28" customFormat="1" ht="16.5" customHeight="1">
      <c r="A166" s="72" t="s">
        <v>79</v>
      </c>
      <c r="B166" s="20">
        <v>150</v>
      </c>
      <c r="C166" s="20">
        <v>108</v>
      </c>
      <c r="D166" s="20"/>
      <c r="E166" s="3">
        <f>17.6*C166/100</f>
        <v>19.008000000000003</v>
      </c>
      <c r="F166" s="3">
        <f>12.3*C166/100</f>
        <v>13.284</v>
      </c>
      <c r="G166" s="3">
        <f>0.4*C166/100</f>
        <v>0.43200000000000005</v>
      </c>
      <c r="H166" s="3">
        <f>10*C166/100</f>
        <v>10.8</v>
      </c>
      <c r="I166" s="3">
        <f>25*C166/100</f>
        <v>27</v>
      </c>
      <c r="J166" s="3">
        <f>210*C166/100</f>
        <v>226.8</v>
      </c>
      <c r="K166" s="3">
        <f>1.5*C166/100</f>
        <v>1.62</v>
      </c>
      <c r="L166" s="3">
        <f>0.04*C166/100</f>
        <v>0.0432</v>
      </c>
      <c r="M166" s="3">
        <f>0.07*C166/100</f>
        <v>0.0756</v>
      </c>
      <c r="N166" s="3">
        <f>0.15*C166/100</f>
        <v>0.162</v>
      </c>
      <c r="O166" s="3"/>
      <c r="P166" s="76">
        <f>183*C166/100</f>
        <v>197.64</v>
      </c>
      <c r="Q166" s="60"/>
    </row>
    <row r="167" spans="1:17" s="11" customFormat="1" ht="33" customHeight="1">
      <c r="A167" s="88" t="s">
        <v>133</v>
      </c>
      <c r="B167" s="9">
        <v>50</v>
      </c>
      <c r="C167" s="9">
        <v>50</v>
      </c>
      <c r="D167" s="10">
        <v>50</v>
      </c>
      <c r="E167" s="16">
        <f>0.9*C167/100</f>
        <v>0.45</v>
      </c>
      <c r="F167" s="16">
        <f>6.6*C167/100</f>
        <v>3.3</v>
      </c>
      <c r="G167" s="16">
        <f>6.1*C167/100</f>
        <v>3.05</v>
      </c>
      <c r="H167" s="16"/>
      <c r="I167" s="16"/>
      <c r="J167" s="16"/>
      <c r="K167" s="16"/>
      <c r="L167" s="16"/>
      <c r="M167" s="16"/>
      <c r="N167" s="16">
        <f>0.1*C167/100</f>
        <v>0.05</v>
      </c>
      <c r="O167" s="16">
        <f>3.4*C167/100</f>
        <v>1.7</v>
      </c>
      <c r="P167" s="71">
        <f>86*C167/100</f>
        <v>43</v>
      </c>
      <c r="Q167" s="56"/>
    </row>
    <row r="168" spans="1:17" ht="16.5" customHeight="1">
      <c r="A168" s="70" t="s">
        <v>16</v>
      </c>
      <c r="B168" s="9">
        <v>40</v>
      </c>
      <c r="C168" s="9">
        <v>40</v>
      </c>
      <c r="D168" s="10">
        <v>40</v>
      </c>
      <c r="E168" s="16">
        <f>7.6*C168/100</f>
        <v>3.04</v>
      </c>
      <c r="F168" s="16">
        <f>0.6*C168/100</f>
        <v>0.24</v>
      </c>
      <c r="G168" s="16">
        <f>52.3*C168/100</f>
        <v>20.92</v>
      </c>
      <c r="H168" s="16">
        <f>20*C168/100</f>
        <v>8</v>
      </c>
      <c r="I168" s="16">
        <f>14*C168/100</f>
        <v>5.6</v>
      </c>
      <c r="J168" s="16">
        <f>65*C168/100</f>
        <v>26</v>
      </c>
      <c r="K168" s="16">
        <f>0.9*C168/100</f>
        <v>0.36</v>
      </c>
      <c r="L168" s="16">
        <v>0</v>
      </c>
      <c r="M168" s="16">
        <f>0.11*C168/100</f>
        <v>0.044000000000000004</v>
      </c>
      <c r="N168" s="16">
        <f>0.06*C168/100</f>
        <v>0.024</v>
      </c>
      <c r="O168" s="16">
        <v>0</v>
      </c>
      <c r="P168" s="71">
        <f>233*C168/100</f>
        <v>93.2</v>
      </c>
      <c r="Q168" s="55"/>
    </row>
    <row r="169" spans="1:17" ht="16.5" customHeight="1">
      <c r="A169" s="70" t="s">
        <v>17</v>
      </c>
      <c r="B169" s="9">
        <v>25</v>
      </c>
      <c r="C169" s="9">
        <v>25</v>
      </c>
      <c r="D169" s="10">
        <v>25</v>
      </c>
      <c r="E169" s="16">
        <f>6.5*C169/100</f>
        <v>1.625</v>
      </c>
      <c r="F169" s="16">
        <f>1*C169/100</f>
        <v>0.25</v>
      </c>
      <c r="G169" s="16">
        <f>40.1*C169/100</f>
        <v>10.025</v>
      </c>
      <c r="H169" s="16">
        <f>38*C169/100</f>
        <v>9.5</v>
      </c>
      <c r="I169" s="16">
        <f>49*C169/100</f>
        <v>12.25</v>
      </c>
      <c r="J169" s="16">
        <f>156*C169/100</f>
        <v>39</v>
      </c>
      <c r="K169" s="16">
        <f>2.6*C169/100</f>
        <v>0.65</v>
      </c>
      <c r="L169" s="16">
        <v>0</v>
      </c>
      <c r="M169" s="16">
        <f>0.18*C169/100</f>
        <v>0.045</v>
      </c>
      <c r="N169" s="16">
        <f>0.11*C169/100</f>
        <v>0.0275</v>
      </c>
      <c r="O169" s="16">
        <v>0</v>
      </c>
      <c r="P169" s="71">
        <f>190*C169/100</f>
        <v>47.5</v>
      </c>
      <c r="Q169" s="55"/>
    </row>
    <row r="170" spans="1:17" s="11" customFormat="1" ht="16.5" customHeight="1">
      <c r="A170" s="70" t="s">
        <v>28</v>
      </c>
      <c r="B170" s="10"/>
      <c r="C170" s="10"/>
      <c r="D170" s="10">
        <v>200</v>
      </c>
      <c r="E170" s="16">
        <f aca="true" t="shared" si="26" ref="E170:P170">E171+E172+E173</f>
        <v>0.272</v>
      </c>
      <c r="F170" s="16">
        <f t="shared" si="26"/>
        <v>0</v>
      </c>
      <c r="G170" s="16">
        <f t="shared" si="26"/>
        <v>15.327000000000002</v>
      </c>
      <c r="H170" s="16">
        <f t="shared" si="26"/>
        <v>8.45</v>
      </c>
      <c r="I170" s="16">
        <f t="shared" si="26"/>
        <v>5.36</v>
      </c>
      <c r="J170" s="16">
        <f t="shared" si="26"/>
        <v>10.01</v>
      </c>
      <c r="K170" s="16">
        <f t="shared" si="26"/>
        <v>0.913</v>
      </c>
      <c r="L170" s="16">
        <f t="shared" si="26"/>
        <v>0</v>
      </c>
      <c r="M170" s="16">
        <f t="shared" si="26"/>
        <v>0</v>
      </c>
      <c r="N170" s="16">
        <f t="shared" si="26"/>
        <v>0</v>
      </c>
      <c r="O170" s="16">
        <f t="shared" si="26"/>
        <v>3.3000000000000003</v>
      </c>
      <c r="P170" s="71">
        <f t="shared" si="26"/>
        <v>59.67</v>
      </c>
      <c r="Q170" s="56"/>
    </row>
    <row r="171" spans="1:17" s="22" customFormat="1" ht="16.5" customHeight="1">
      <c r="A171" s="72" t="s">
        <v>67</v>
      </c>
      <c r="B171" s="20">
        <v>1</v>
      </c>
      <c r="C171" s="20">
        <v>1</v>
      </c>
      <c r="D171" s="20"/>
      <c r="E171" s="3">
        <f>20*C171/100</f>
        <v>0.2</v>
      </c>
      <c r="F171" s="3"/>
      <c r="G171" s="3">
        <f>6.9*C171/100</f>
        <v>0.069</v>
      </c>
      <c r="H171" s="3">
        <f>495*C171/100</f>
        <v>4.95</v>
      </c>
      <c r="I171" s="3">
        <f>440*C171/100</f>
        <v>4.4</v>
      </c>
      <c r="J171" s="3">
        <f>825*C171/100</f>
        <v>8.25</v>
      </c>
      <c r="K171" s="3">
        <f>82*C171/100</f>
        <v>0.82</v>
      </c>
      <c r="L171" s="3"/>
      <c r="M171" s="3"/>
      <c r="N171" s="3"/>
      <c r="O171" s="3">
        <f>10*C171/100</f>
        <v>0.1</v>
      </c>
      <c r="P171" s="76">
        <f>109*C171/100</f>
        <v>1.09</v>
      </c>
      <c r="Q171" s="59"/>
    </row>
    <row r="172" spans="1:17" s="22" customFormat="1" ht="16.5" customHeight="1">
      <c r="A172" s="72" t="s">
        <v>53</v>
      </c>
      <c r="B172" s="20">
        <v>15</v>
      </c>
      <c r="C172" s="20">
        <v>15</v>
      </c>
      <c r="D172" s="20"/>
      <c r="E172" s="23"/>
      <c r="F172" s="23"/>
      <c r="G172" s="3">
        <f>99.8*C172/100</f>
        <v>14.97</v>
      </c>
      <c r="H172" s="3">
        <f>2*C172/100</f>
        <v>0.3</v>
      </c>
      <c r="I172" s="3"/>
      <c r="J172" s="3"/>
      <c r="K172" s="3">
        <f>0.3*C172/100</f>
        <v>0.045</v>
      </c>
      <c r="L172" s="3"/>
      <c r="M172" s="3"/>
      <c r="N172" s="3"/>
      <c r="O172" s="3"/>
      <c r="P172" s="76">
        <f>374*C172/100</f>
        <v>56.1</v>
      </c>
      <c r="Q172" s="59"/>
    </row>
    <row r="173" spans="1:17" s="22" customFormat="1" ht="16.5" customHeight="1">
      <c r="A173" s="72" t="s">
        <v>87</v>
      </c>
      <c r="B173" s="20">
        <v>8</v>
      </c>
      <c r="C173" s="20">
        <v>8</v>
      </c>
      <c r="D173" s="20"/>
      <c r="E173" s="23">
        <f>0.9*C173/100</f>
        <v>0.07200000000000001</v>
      </c>
      <c r="F173" s="23"/>
      <c r="G173" s="23">
        <f>3.6*C173/100</f>
        <v>0.28800000000000003</v>
      </c>
      <c r="H173" s="23">
        <f>40*C173/100</f>
        <v>3.2</v>
      </c>
      <c r="I173" s="23">
        <f>12*C173/100</f>
        <v>0.96</v>
      </c>
      <c r="J173" s="23">
        <f>22*C173/100</f>
        <v>1.76</v>
      </c>
      <c r="K173" s="23">
        <f>0.6*C173/100</f>
        <v>0.048</v>
      </c>
      <c r="L173" s="23"/>
      <c r="M173" s="23"/>
      <c r="N173" s="23"/>
      <c r="O173" s="23">
        <f>40*C173/100</f>
        <v>3.2</v>
      </c>
      <c r="P173" s="74">
        <f>31*C173/100</f>
        <v>2.48</v>
      </c>
      <c r="Q173" s="59"/>
    </row>
    <row r="174" spans="1:17" s="11" customFormat="1" ht="33" customHeight="1" thickBot="1">
      <c r="A174" s="89" t="s">
        <v>18</v>
      </c>
      <c r="B174" s="90"/>
      <c r="C174" s="90"/>
      <c r="D174" s="90"/>
      <c r="E174" s="90">
        <f aca="true" t="shared" si="27" ref="E174:P174">E159+E229+E232+E167+E168+E169+E170</f>
        <v>54.279</v>
      </c>
      <c r="F174" s="90">
        <f t="shared" si="27"/>
        <v>47.604000000000006</v>
      </c>
      <c r="G174" s="90">
        <f t="shared" si="27"/>
        <v>114.75900000000001</v>
      </c>
      <c r="H174" s="90">
        <f t="shared" si="27"/>
        <v>128.75</v>
      </c>
      <c r="I174" s="90">
        <f t="shared" si="27"/>
        <v>167.12</v>
      </c>
      <c r="J174" s="90">
        <f t="shared" si="27"/>
        <v>790.6300000000001</v>
      </c>
      <c r="K174" s="90">
        <f t="shared" si="27"/>
        <v>8.663</v>
      </c>
      <c r="L174" s="90">
        <f t="shared" si="27"/>
        <v>2.7601</v>
      </c>
      <c r="M174" s="90">
        <f t="shared" si="27"/>
        <v>0.6162</v>
      </c>
      <c r="N174" s="90">
        <f t="shared" si="27"/>
        <v>0.639</v>
      </c>
      <c r="O174" s="90">
        <f t="shared" si="27"/>
        <v>67.53999999999999</v>
      </c>
      <c r="P174" s="91">
        <f t="shared" si="27"/>
        <v>1080.8300000000002</v>
      </c>
      <c r="Q174" s="56"/>
    </row>
    <row r="175" spans="1:17" s="11" customFormat="1" ht="16.5" customHeight="1">
      <c r="A175" s="65" t="s">
        <v>19</v>
      </c>
      <c r="B175" s="66"/>
      <c r="C175" s="66"/>
      <c r="D175" s="67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9"/>
      <c r="Q175" s="56"/>
    </row>
    <row r="176" spans="1:17" s="11" customFormat="1" ht="16.5" customHeight="1">
      <c r="A176" s="216" t="s">
        <v>0</v>
      </c>
      <c r="B176" s="185" t="s">
        <v>40</v>
      </c>
      <c r="C176" s="185" t="s">
        <v>41</v>
      </c>
      <c r="D176" s="213" t="s">
        <v>42</v>
      </c>
      <c r="E176" s="189" t="s">
        <v>1</v>
      </c>
      <c r="F176" s="189"/>
      <c r="G176" s="189"/>
      <c r="H176" s="189" t="s">
        <v>3</v>
      </c>
      <c r="I176" s="189"/>
      <c r="J176" s="189"/>
      <c r="K176" s="189"/>
      <c r="L176" s="206" t="s">
        <v>2</v>
      </c>
      <c r="M176" s="207"/>
      <c r="N176" s="207"/>
      <c r="O176" s="207"/>
      <c r="P176" s="210" t="s">
        <v>43</v>
      </c>
      <c r="Q176" s="56"/>
    </row>
    <row r="177" spans="1:17" s="22" customFormat="1" ht="16.5" customHeight="1">
      <c r="A177" s="217"/>
      <c r="B177" s="185"/>
      <c r="C177" s="185"/>
      <c r="D177" s="214"/>
      <c r="E177" s="189"/>
      <c r="F177" s="189"/>
      <c r="G177" s="189"/>
      <c r="H177" s="189" t="s">
        <v>4</v>
      </c>
      <c r="I177" s="189"/>
      <c r="J177" s="189"/>
      <c r="K177" s="189"/>
      <c r="L177" s="208"/>
      <c r="M177" s="209"/>
      <c r="N177" s="209"/>
      <c r="O177" s="209"/>
      <c r="P177" s="211"/>
      <c r="Q177" s="59"/>
    </row>
    <row r="178" spans="1:17" s="22" customFormat="1" ht="16.5" customHeight="1">
      <c r="A178" s="218"/>
      <c r="B178" s="185"/>
      <c r="C178" s="185"/>
      <c r="D178" s="215"/>
      <c r="E178" s="18" t="s">
        <v>5</v>
      </c>
      <c r="F178" s="18" t="s">
        <v>6</v>
      </c>
      <c r="G178" s="18" t="s">
        <v>7</v>
      </c>
      <c r="H178" s="18" t="s">
        <v>10</v>
      </c>
      <c r="I178" s="18" t="s">
        <v>12</v>
      </c>
      <c r="J178" s="18" t="s">
        <v>11</v>
      </c>
      <c r="K178" s="18" t="s">
        <v>13</v>
      </c>
      <c r="L178" s="18" t="s">
        <v>9</v>
      </c>
      <c r="M178" s="18" t="s">
        <v>51</v>
      </c>
      <c r="N178" s="18" t="s">
        <v>52</v>
      </c>
      <c r="O178" s="18" t="s">
        <v>8</v>
      </c>
      <c r="P178" s="212"/>
      <c r="Q178" s="59"/>
    </row>
    <row r="179" spans="1:17" s="28" customFormat="1" ht="16.5" customHeight="1">
      <c r="A179" s="186" t="s">
        <v>37</v>
      </c>
      <c r="B179" s="187"/>
      <c r="C179" s="188"/>
      <c r="D179" s="10">
        <v>250</v>
      </c>
      <c r="E179" s="16">
        <f>E180+E181+E182+E183+E184+E185</f>
        <v>2.201</v>
      </c>
      <c r="F179" s="16">
        <f aca="true" t="shared" si="28" ref="F179:P179">F180+F181+F182+F183+F184+F185</f>
        <v>5.077</v>
      </c>
      <c r="G179" s="16">
        <f t="shared" si="28"/>
        <v>15.331</v>
      </c>
      <c r="H179" s="16">
        <f t="shared" si="28"/>
        <v>25.56</v>
      </c>
      <c r="I179" s="16">
        <f t="shared" si="28"/>
        <v>24.509999999999998</v>
      </c>
      <c r="J179" s="16">
        <f t="shared" si="28"/>
        <v>58.129999999999995</v>
      </c>
      <c r="K179" s="16">
        <f t="shared" si="28"/>
        <v>1.017</v>
      </c>
      <c r="L179" s="16">
        <f t="shared" si="28"/>
        <v>0.9490000000000001</v>
      </c>
      <c r="M179" s="16">
        <f t="shared" si="28"/>
        <v>0.09609999999999999</v>
      </c>
      <c r="N179" s="16">
        <f t="shared" si="28"/>
        <v>0.04</v>
      </c>
      <c r="O179" s="16">
        <f t="shared" si="28"/>
        <v>24.6</v>
      </c>
      <c r="P179" s="71">
        <f t="shared" si="28"/>
        <v>112.46</v>
      </c>
      <c r="Q179" s="60"/>
    </row>
    <row r="180" spans="1:17" s="5" customFormat="1" ht="16.5" customHeight="1">
      <c r="A180" s="72" t="s">
        <v>77</v>
      </c>
      <c r="B180" s="20">
        <v>84</v>
      </c>
      <c r="C180" s="20">
        <v>60</v>
      </c>
      <c r="D180" s="20"/>
      <c r="E180" s="21">
        <f>2*C180/100</f>
        <v>1.2</v>
      </c>
      <c r="F180" s="21">
        <f>0.1*C180/100</f>
        <v>0.06</v>
      </c>
      <c r="G180" s="21">
        <f>19.7*C180/100</f>
        <v>11.82</v>
      </c>
      <c r="H180" s="21">
        <f>10*C180/100</f>
        <v>6</v>
      </c>
      <c r="I180" s="21">
        <f>23*C180/100</f>
        <v>13.8</v>
      </c>
      <c r="J180" s="21">
        <f>58*C180/100</f>
        <v>34.8</v>
      </c>
      <c r="K180" s="21">
        <f>0.9*C180/100</f>
        <v>0.54</v>
      </c>
      <c r="L180" s="21">
        <f>0.02*C180/100</f>
        <v>0.012</v>
      </c>
      <c r="M180" s="21">
        <f>0.12*C180/100</f>
        <v>0.072</v>
      </c>
      <c r="N180" s="21">
        <f>0.05*C180/100</f>
        <v>0.03</v>
      </c>
      <c r="O180" s="21">
        <f>20*C180/100</f>
        <v>12</v>
      </c>
      <c r="P180" s="73">
        <f>83*C180/100</f>
        <v>49.8</v>
      </c>
      <c r="Q180" s="57"/>
    </row>
    <row r="181" spans="1:17" s="5" customFormat="1" ht="16.5" customHeight="1">
      <c r="A181" s="72" t="s">
        <v>46</v>
      </c>
      <c r="B181" s="20">
        <v>12</v>
      </c>
      <c r="C181" s="20">
        <v>10</v>
      </c>
      <c r="D181" s="20"/>
      <c r="E181" s="23">
        <f>1.7*C181/100</f>
        <v>0.17</v>
      </c>
      <c r="F181" s="23">
        <v>0</v>
      </c>
      <c r="G181" s="23">
        <f>9.5*C181/100</f>
        <v>0.95</v>
      </c>
      <c r="H181" s="23">
        <f>31*C181/100</f>
        <v>3.1</v>
      </c>
      <c r="I181" s="23">
        <f>14*C181/100</f>
        <v>1.4</v>
      </c>
      <c r="J181" s="23">
        <f>58*C181/100</f>
        <v>5.8</v>
      </c>
      <c r="K181" s="23">
        <f>0.8*C181/100</f>
        <v>0.08</v>
      </c>
      <c r="L181" s="23">
        <v>0</v>
      </c>
      <c r="M181" s="23">
        <v>0</v>
      </c>
      <c r="N181" s="23">
        <v>0</v>
      </c>
      <c r="O181" s="23">
        <f>10*C181/100</f>
        <v>1</v>
      </c>
      <c r="P181" s="74">
        <f>43*C181/100</f>
        <v>4.3</v>
      </c>
      <c r="Q181" s="57"/>
    </row>
    <row r="182" spans="1:17" s="35" customFormat="1" ht="16.5" customHeight="1">
      <c r="A182" s="72" t="s">
        <v>47</v>
      </c>
      <c r="B182" s="20">
        <v>13</v>
      </c>
      <c r="C182" s="20">
        <v>10</v>
      </c>
      <c r="D182" s="20"/>
      <c r="E182" s="24">
        <f>1.3*C182/100</f>
        <v>0.13</v>
      </c>
      <c r="F182" s="24"/>
      <c r="G182" s="24">
        <f>7*C182/100</f>
        <v>0.7</v>
      </c>
      <c r="H182" s="24">
        <f>51*C182/100</f>
        <v>5.1</v>
      </c>
      <c r="I182" s="24">
        <f>38*C182/100</f>
        <v>3.8</v>
      </c>
      <c r="J182" s="24">
        <f>55*C182/100</f>
        <v>5.5</v>
      </c>
      <c r="K182" s="24">
        <f>1.2*C182/100</f>
        <v>0.12</v>
      </c>
      <c r="L182" s="24">
        <f>9*C182/100</f>
        <v>0.9</v>
      </c>
      <c r="M182" s="24">
        <v>0</v>
      </c>
      <c r="N182" s="24">
        <v>0</v>
      </c>
      <c r="O182" s="24">
        <f>5*C182/100</f>
        <v>0.5</v>
      </c>
      <c r="P182" s="75">
        <f>33*C182/100</f>
        <v>3.3</v>
      </c>
      <c r="Q182" s="54"/>
    </row>
    <row r="183" spans="1:17" s="19" customFormat="1" ht="16.5" customHeight="1">
      <c r="A183" s="72" t="s">
        <v>59</v>
      </c>
      <c r="B183" s="20">
        <v>5</v>
      </c>
      <c r="C183" s="20">
        <v>5</v>
      </c>
      <c r="D183" s="20"/>
      <c r="E183" s="23"/>
      <c r="F183" s="3">
        <f>99.9*C183/100</f>
        <v>4.995</v>
      </c>
      <c r="G183" s="3"/>
      <c r="H183" s="3"/>
      <c r="I183" s="3"/>
      <c r="J183" s="3"/>
      <c r="K183" s="3"/>
      <c r="L183" s="3"/>
      <c r="M183" s="3"/>
      <c r="N183" s="3"/>
      <c r="O183" s="3"/>
      <c r="P183" s="76">
        <f>899*C183/100</f>
        <v>44.95</v>
      </c>
      <c r="Q183" s="58"/>
    </row>
    <row r="184" spans="1:17" s="19" customFormat="1" ht="16.5" customHeight="1">
      <c r="A184" s="72" t="s">
        <v>82</v>
      </c>
      <c r="B184" s="20">
        <v>25</v>
      </c>
      <c r="C184" s="20">
        <v>20</v>
      </c>
      <c r="D184" s="20"/>
      <c r="E184" s="24">
        <f>1.8*C184/100</f>
        <v>0.36</v>
      </c>
      <c r="F184" s="24"/>
      <c r="G184" s="24">
        <f>5.4*C184/100</f>
        <v>1.08</v>
      </c>
      <c r="H184" s="24">
        <f>48*C184/100</f>
        <v>9.6</v>
      </c>
      <c r="I184" s="24">
        <f>16*C184/100</f>
        <v>3.2</v>
      </c>
      <c r="J184" s="24">
        <f>31*C184/100</f>
        <v>6.2</v>
      </c>
      <c r="K184" s="24">
        <f>1*C184/100</f>
        <v>0.2</v>
      </c>
      <c r="L184" s="24">
        <f>0.02*C184/100</f>
        <v>0.004</v>
      </c>
      <c r="M184" s="24">
        <f>0.06*C184/100</f>
        <v>0.012</v>
      </c>
      <c r="N184" s="24">
        <f>0.05*C184/100</f>
        <v>0.01</v>
      </c>
      <c r="O184" s="24">
        <f>50*C184/100</f>
        <v>10</v>
      </c>
      <c r="P184" s="75">
        <f>28*C184/100</f>
        <v>5.6</v>
      </c>
      <c r="Q184" s="58"/>
    </row>
    <row r="185" spans="1:17" s="19" customFormat="1" ht="16.5" customHeight="1">
      <c r="A185" s="72" t="s">
        <v>83</v>
      </c>
      <c r="B185" s="20">
        <v>15</v>
      </c>
      <c r="C185" s="20">
        <v>11</v>
      </c>
      <c r="D185" s="20"/>
      <c r="E185" s="23">
        <f>3.1*C185/100</f>
        <v>0.341</v>
      </c>
      <c r="F185" s="23">
        <f>0.2*C185/100</f>
        <v>0.022000000000000002</v>
      </c>
      <c r="G185" s="23">
        <f>7.1*C185/100</f>
        <v>0.7809999999999999</v>
      </c>
      <c r="H185" s="23">
        <f>16*C185/100</f>
        <v>1.76</v>
      </c>
      <c r="I185" s="23">
        <f>21*C185/100</f>
        <v>2.31</v>
      </c>
      <c r="J185" s="23">
        <f>53*C185/100</f>
        <v>5.83</v>
      </c>
      <c r="K185" s="23">
        <f>0.7*C185/100</f>
        <v>0.077</v>
      </c>
      <c r="L185" s="23">
        <f>0.3*C185/100</f>
        <v>0.033</v>
      </c>
      <c r="M185" s="23">
        <f>0.11*C185/100</f>
        <v>0.0121</v>
      </c>
      <c r="N185" s="23"/>
      <c r="O185" s="23">
        <f>10*C185/100</f>
        <v>1.1</v>
      </c>
      <c r="P185" s="74">
        <f>41*C185/100</f>
        <v>4.51</v>
      </c>
      <c r="Q185" s="58"/>
    </row>
    <row r="186" spans="1:17" s="11" customFormat="1" ht="16.5" customHeight="1">
      <c r="A186" s="186" t="s">
        <v>30</v>
      </c>
      <c r="B186" s="187"/>
      <c r="C186" s="188"/>
      <c r="D186" s="10">
        <v>180</v>
      </c>
      <c r="E186" s="16">
        <f>E187+E188</f>
        <v>4.628</v>
      </c>
      <c r="F186" s="16">
        <f aca="true" t="shared" si="29" ref="F186:P186">F187+F188</f>
        <v>4.739999999999999</v>
      </c>
      <c r="G186" s="16">
        <f t="shared" si="29"/>
        <v>50.299</v>
      </c>
      <c r="H186" s="16">
        <f t="shared" si="29"/>
        <v>17.04</v>
      </c>
      <c r="I186" s="16">
        <f t="shared" si="29"/>
        <v>13.83</v>
      </c>
      <c r="J186" s="16">
        <f t="shared" si="29"/>
        <v>64.25</v>
      </c>
      <c r="K186" s="16">
        <f t="shared" si="29"/>
        <v>1.182</v>
      </c>
      <c r="L186" s="16">
        <f t="shared" si="29"/>
        <v>0.024000000000000004</v>
      </c>
      <c r="M186" s="16">
        <f t="shared" si="29"/>
        <v>0.052000000000000005</v>
      </c>
      <c r="N186" s="16">
        <f t="shared" si="29"/>
        <v>0.026000000000000002</v>
      </c>
      <c r="O186" s="16">
        <f t="shared" si="29"/>
        <v>0</v>
      </c>
      <c r="P186" s="71">
        <f t="shared" si="29"/>
        <v>249.60999999999999</v>
      </c>
      <c r="Q186" s="56"/>
    </row>
    <row r="187" spans="1:17" s="22" customFormat="1" ht="16.5" customHeight="1">
      <c r="A187" s="72" t="s">
        <v>84</v>
      </c>
      <c r="B187" s="20">
        <v>65</v>
      </c>
      <c r="C187" s="20">
        <v>65</v>
      </c>
      <c r="D187" s="20"/>
      <c r="E187" s="21">
        <f>7*C187/100</f>
        <v>4.55</v>
      </c>
      <c r="F187" s="21">
        <f>0.6*C187/100</f>
        <v>0.39</v>
      </c>
      <c r="G187" s="21">
        <f>77.3*C187/100</f>
        <v>50.245</v>
      </c>
      <c r="H187" s="21">
        <f>24*C187/100</f>
        <v>15.6</v>
      </c>
      <c r="I187" s="21">
        <f>21*C187/100</f>
        <v>13.65</v>
      </c>
      <c r="J187" s="21">
        <f>97*C187/100</f>
        <v>63.05</v>
      </c>
      <c r="K187" s="21">
        <f>1.8*C187/100</f>
        <v>1.17</v>
      </c>
      <c r="L187" s="21"/>
      <c r="M187" s="21">
        <f>0.08*C187/100</f>
        <v>0.052000000000000005</v>
      </c>
      <c r="N187" s="21">
        <f>0.04*C187/100</f>
        <v>0.026000000000000002</v>
      </c>
      <c r="O187" s="21"/>
      <c r="P187" s="73">
        <f>323*C187/100</f>
        <v>209.95</v>
      </c>
      <c r="Q187" s="59"/>
    </row>
    <row r="188" spans="1:17" s="22" customFormat="1" ht="16.5" customHeight="1">
      <c r="A188" s="72" t="s">
        <v>63</v>
      </c>
      <c r="B188" s="20">
        <v>6</v>
      </c>
      <c r="C188" s="20">
        <v>6</v>
      </c>
      <c r="D188" s="20"/>
      <c r="E188" s="3">
        <f>1.3*C188/100</f>
        <v>0.07800000000000001</v>
      </c>
      <c r="F188" s="3">
        <f>72.5*C188/100</f>
        <v>4.35</v>
      </c>
      <c r="G188" s="3">
        <f>0.9*C188/100</f>
        <v>0.054000000000000006</v>
      </c>
      <c r="H188" s="3">
        <f>24*C188/100</f>
        <v>1.44</v>
      </c>
      <c r="I188" s="3">
        <f>3*C188/100</f>
        <v>0.18</v>
      </c>
      <c r="J188" s="3">
        <f>20*C188/100</f>
        <v>1.2</v>
      </c>
      <c r="K188" s="3">
        <f>0.2*C188/100</f>
        <v>0.012000000000000002</v>
      </c>
      <c r="L188" s="3">
        <f>0.4*C188/100</f>
        <v>0.024000000000000004</v>
      </c>
      <c r="M188" s="3"/>
      <c r="N188" s="3"/>
      <c r="O188" s="3"/>
      <c r="P188" s="76">
        <f>661*C188/100</f>
        <v>39.66</v>
      </c>
      <c r="Q188" s="59"/>
    </row>
    <row r="189" spans="1:17" s="22" customFormat="1" ht="16.5" customHeight="1">
      <c r="A189" s="186" t="s">
        <v>31</v>
      </c>
      <c r="B189" s="187"/>
      <c r="C189" s="188"/>
      <c r="D189" s="10" t="s">
        <v>136</v>
      </c>
      <c r="E189" s="16">
        <f>E190+E191+E192+E193+E194+E195+E196</f>
        <v>18.881</v>
      </c>
      <c r="F189" s="16">
        <f aca="true" t="shared" si="30" ref="F189:P189">F190+F191+F192+F193+F194+F195+F196</f>
        <v>17.703999999999997</v>
      </c>
      <c r="G189" s="16">
        <f t="shared" si="30"/>
        <v>15.187000000000001</v>
      </c>
      <c r="H189" s="16">
        <f t="shared" si="30"/>
        <v>14.05</v>
      </c>
      <c r="I189" s="16">
        <f t="shared" si="30"/>
        <v>8.280000000000001</v>
      </c>
      <c r="J189" s="16">
        <f t="shared" si="30"/>
        <v>33.84</v>
      </c>
      <c r="K189" s="16">
        <f t="shared" si="30"/>
        <v>0.592</v>
      </c>
      <c r="L189" s="16">
        <f t="shared" si="30"/>
        <v>0.63</v>
      </c>
      <c r="M189" s="16">
        <f t="shared" si="30"/>
        <v>0.0182</v>
      </c>
      <c r="N189" s="16">
        <f t="shared" si="30"/>
        <v>0.004</v>
      </c>
      <c r="O189" s="16">
        <f t="shared" si="30"/>
        <v>3.7</v>
      </c>
      <c r="P189" s="71">
        <f t="shared" si="30"/>
        <v>293.54</v>
      </c>
      <c r="Q189" s="59"/>
    </row>
    <row r="190" spans="1:17" s="22" customFormat="1" ht="16.5" customHeight="1">
      <c r="A190" s="72" t="s">
        <v>46</v>
      </c>
      <c r="B190" s="20">
        <v>25</v>
      </c>
      <c r="C190" s="20">
        <v>21</v>
      </c>
      <c r="D190" s="20"/>
      <c r="E190" s="23">
        <f>1.7*C190/100</f>
        <v>0.357</v>
      </c>
      <c r="F190" s="23">
        <v>0</v>
      </c>
      <c r="G190" s="23">
        <f>9.5*C190/100</f>
        <v>1.995</v>
      </c>
      <c r="H190" s="23">
        <f>31*C190/100</f>
        <v>6.51</v>
      </c>
      <c r="I190" s="23">
        <f>14*C190/100</f>
        <v>2.94</v>
      </c>
      <c r="J190" s="23">
        <f>58*C190/100</f>
        <v>12.18</v>
      </c>
      <c r="K190" s="23">
        <f>0.8*C190/100</f>
        <v>0.168</v>
      </c>
      <c r="L190" s="23">
        <v>0</v>
      </c>
      <c r="M190" s="23">
        <v>0</v>
      </c>
      <c r="N190" s="23">
        <v>0</v>
      </c>
      <c r="O190" s="23">
        <f>10*C190/100</f>
        <v>2.1</v>
      </c>
      <c r="P190" s="74">
        <f>43*C190/100</f>
        <v>9.03</v>
      </c>
      <c r="Q190" s="59"/>
    </row>
    <row r="191" spans="1:17" s="22" customFormat="1" ht="16.5" customHeight="1">
      <c r="A191" s="72" t="s">
        <v>47</v>
      </c>
      <c r="B191" s="20">
        <v>8</v>
      </c>
      <c r="C191" s="20">
        <v>6</v>
      </c>
      <c r="D191" s="20"/>
      <c r="E191" s="24">
        <f>1.3*C191/100</f>
        <v>0.07800000000000001</v>
      </c>
      <c r="F191" s="24"/>
      <c r="G191" s="24">
        <f>7*C191/100</f>
        <v>0.42</v>
      </c>
      <c r="H191" s="24">
        <f>51*C191/100</f>
        <v>3.06</v>
      </c>
      <c r="I191" s="24">
        <f>38*C191/100</f>
        <v>2.28</v>
      </c>
      <c r="J191" s="24">
        <f>55*C191/100</f>
        <v>3.3</v>
      </c>
      <c r="K191" s="24">
        <f>1.2*C191/100</f>
        <v>0.072</v>
      </c>
      <c r="L191" s="24">
        <f>9*C191/100</f>
        <v>0.54</v>
      </c>
      <c r="M191" s="24">
        <v>0</v>
      </c>
      <c r="N191" s="24">
        <v>0</v>
      </c>
      <c r="O191" s="24">
        <f>5*C191/100</f>
        <v>0.3</v>
      </c>
      <c r="P191" s="75">
        <f>33*C191/100</f>
        <v>1.98</v>
      </c>
      <c r="Q191" s="59"/>
    </row>
    <row r="192" spans="1:17" s="22" customFormat="1" ht="16.5" customHeight="1">
      <c r="A192" s="72" t="s">
        <v>59</v>
      </c>
      <c r="B192" s="20">
        <v>10</v>
      </c>
      <c r="C192" s="20">
        <v>10</v>
      </c>
      <c r="D192" s="20"/>
      <c r="E192" s="23"/>
      <c r="F192" s="3">
        <f>99.9*C192/100</f>
        <v>9.99</v>
      </c>
      <c r="G192" s="3"/>
      <c r="H192" s="3"/>
      <c r="I192" s="3"/>
      <c r="J192" s="3"/>
      <c r="K192" s="3"/>
      <c r="L192" s="3"/>
      <c r="M192" s="3"/>
      <c r="N192" s="3"/>
      <c r="O192" s="3"/>
      <c r="P192" s="76">
        <f>899*C192/100</f>
        <v>89.9</v>
      </c>
      <c r="Q192" s="59"/>
    </row>
    <row r="193" spans="1:17" s="35" customFormat="1" ht="16.5" customHeight="1">
      <c r="A193" s="72" t="s">
        <v>60</v>
      </c>
      <c r="B193" s="20">
        <v>5</v>
      </c>
      <c r="C193" s="20">
        <v>5</v>
      </c>
      <c r="D193" s="20"/>
      <c r="E193" s="21">
        <f>3.6*C193/100</f>
        <v>0.18</v>
      </c>
      <c r="F193" s="21"/>
      <c r="G193" s="21">
        <f>11.8*C193/100</f>
        <v>0.59</v>
      </c>
      <c r="H193" s="21">
        <f>20*C193/100</f>
        <v>1</v>
      </c>
      <c r="I193" s="21"/>
      <c r="J193" s="21">
        <f>70*C193/100</f>
        <v>3.5</v>
      </c>
      <c r="K193" s="21">
        <f>2*C193/100</f>
        <v>0.1</v>
      </c>
      <c r="L193" s="21">
        <f>1.8*C193/100</f>
        <v>0.09</v>
      </c>
      <c r="M193" s="21"/>
      <c r="N193" s="21"/>
      <c r="O193" s="21">
        <f>26*C193/100</f>
        <v>1.3</v>
      </c>
      <c r="P193" s="73">
        <f>63*C193/100</f>
        <v>3.15</v>
      </c>
      <c r="Q193" s="54"/>
    </row>
    <row r="194" spans="1:17" s="28" customFormat="1" ht="16.5" customHeight="1">
      <c r="A194" s="72" t="s">
        <v>101</v>
      </c>
      <c r="B194" s="20">
        <v>11</v>
      </c>
      <c r="C194" s="20">
        <v>10</v>
      </c>
      <c r="D194" s="20"/>
      <c r="E194" s="21">
        <f>7*C194/100</f>
        <v>0.7</v>
      </c>
      <c r="F194" s="21">
        <f>0.6*C194/100</f>
        <v>0.06</v>
      </c>
      <c r="G194" s="21">
        <f>77.3*C194/100</f>
        <v>7.73</v>
      </c>
      <c r="H194" s="21">
        <f>24*C194/100</f>
        <v>2.4</v>
      </c>
      <c r="I194" s="21">
        <f>21*C194/100</f>
        <v>2.1</v>
      </c>
      <c r="J194" s="21">
        <f>97*C194/100</f>
        <v>9.7</v>
      </c>
      <c r="K194" s="21">
        <f>1.8*C194/100</f>
        <v>0.18</v>
      </c>
      <c r="L194" s="21"/>
      <c r="M194" s="21">
        <f>0.08*C194/100</f>
        <v>0.008</v>
      </c>
      <c r="N194" s="21">
        <f>0.04*C194/100</f>
        <v>0.004</v>
      </c>
      <c r="O194" s="21"/>
      <c r="P194" s="73">
        <f>323*C194/100</f>
        <v>32.3</v>
      </c>
      <c r="Q194" s="60"/>
    </row>
    <row r="195" spans="1:17" s="28" customFormat="1" ht="16.5" customHeight="1">
      <c r="A195" s="72" t="s">
        <v>85</v>
      </c>
      <c r="B195" s="20">
        <v>76</v>
      </c>
      <c r="C195" s="20">
        <v>76</v>
      </c>
      <c r="D195" s="20"/>
      <c r="E195" s="23">
        <f>22.3*C195/100</f>
        <v>16.948</v>
      </c>
      <c r="F195" s="23">
        <f>10*C195/100</f>
        <v>7.6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74">
        <f>181*C195/100</f>
        <v>137.56</v>
      </c>
      <c r="Q195" s="60"/>
    </row>
    <row r="196" spans="1:17" s="35" customFormat="1" ht="16.5" customHeight="1">
      <c r="A196" s="72" t="s">
        <v>64</v>
      </c>
      <c r="B196" s="20">
        <v>6</v>
      </c>
      <c r="C196" s="20">
        <v>6</v>
      </c>
      <c r="D196" s="20"/>
      <c r="E196" s="3">
        <f>10.3*C196/100</f>
        <v>0.618</v>
      </c>
      <c r="F196" s="3">
        <f>0.9*C196/100</f>
        <v>0.054000000000000006</v>
      </c>
      <c r="G196" s="3">
        <f>74.2*C196/100</f>
        <v>4.452000000000001</v>
      </c>
      <c r="H196" s="3">
        <f>18*C196/100</f>
        <v>1.08</v>
      </c>
      <c r="I196" s="3">
        <f>16*C196/100</f>
        <v>0.96</v>
      </c>
      <c r="J196" s="3">
        <f>86*C196/100</f>
        <v>5.16</v>
      </c>
      <c r="K196" s="3">
        <f>1.2*C196/100</f>
        <v>0.072</v>
      </c>
      <c r="L196" s="3"/>
      <c r="M196" s="3">
        <f>0.17*C196/100</f>
        <v>0.0102</v>
      </c>
      <c r="N196" s="3"/>
      <c r="O196" s="3"/>
      <c r="P196" s="76">
        <f>327*C196/100</f>
        <v>19.62</v>
      </c>
      <c r="Q196" s="54"/>
    </row>
    <row r="197" spans="1:17" ht="16.5" customHeight="1">
      <c r="A197" s="224" t="s">
        <v>86</v>
      </c>
      <c r="B197" s="225"/>
      <c r="C197" s="29">
        <v>200</v>
      </c>
      <c r="D197" s="8">
        <v>200</v>
      </c>
      <c r="E197" s="7">
        <f>0.7*C197/100</f>
        <v>1.4</v>
      </c>
      <c r="F197" s="7"/>
      <c r="G197" s="7">
        <f>13.3*C197/100</f>
        <v>26.6</v>
      </c>
      <c r="H197" s="7">
        <f>18*C197/100</f>
        <v>36</v>
      </c>
      <c r="I197" s="7"/>
      <c r="J197" s="7">
        <f>13*C197/100</f>
        <v>26</v>
      </c>
      <c r="K197" s="7">
        <f>0.3*C197/100</f>
        <v>0.6</v>
      </c>
      <c r="L197" s="7">
        <f>0.05*C197/100</f>
        <v>0.1</v>
      </c>
      <c r="M197" s="7">
        <f>0.04*C197/100</f>
        <v>0.08</v>
      </c>
      <c r="N197" s="7">
        <f>0.02*C197/100</f>
        <v>0.04</v>
      </c>
      <c r="O197" s="7">
        <f>40*C197/100</f>
        <v>80</v>
      </c>
      <c r="P197" s="92">
        <f>55*C197/100</f>
        <v>110</v>
      </c>
      <c r="Q197" s="55"/>
    </row>
    <row r="198" spans="1:17" ht="16.5" customHeight="1">
      <c r="A198" s="70" t="s">
        <v>16</v>
      </c>
      <c r="B198" s="9">
        <v>60</v>
      </c>
      <c r="C198" s="9">
        <v>60</v>
      </c>
      <c r="D198" s="10">
        <v>60</v>
      </c>
      <c r="E198" s="16">
        <f>7.6*C198/100</f>
        <v>4.56</v>
      </c>
      <c r="F198" s="16">
        <f>0.6*C198/100</f>
        <v>0.36</v>
      </c>
      <c r="G198" s="16">
        <f>52.3*C198/100</f>
        <v>31.38</v>
      </c>
      <c r="H198" s="16">
        <f>20*C198/100</f>
        <v>12</v>
      </c>
      <c r="I198" s="16">
        <f>14*C198/100</f>
        <v>8.4</v>
      </c>
      <c r="J198" s="16">
        <f>65*C198/100</f>
        <v>39</v>
      </c>
      <c r="K198" s="16">
        <f>0.9*C198/100</f>
        <v>0.54</v>
      </c>
      <c r="L198" s="16">
        <v>0</v>
      </c>
      <c r="M198" s="16">
        <f>0.11*C198/100</f>
        <v>0.066</v>
      </c>
      <c r="N198" s="16">
        <f>0.06*C198/100</f>
        <v>0.036</v>
      </c>
      <c r="O198" s="16">
        <v>0</v>
      </c>
      <c r="P198" s="71">
        <f>233*C198/100</f>
        <v>139.8</v>
      </c>
      <c r="Q198" s="55"/>
    </row>
    <row r="199" spans="1:17" ht="16.5" customHeight="1">
      <c r="A199" s="70" t="s">
        <v>17</v>
      </c>
      <c r="B199" s="9">
        <v>35</v>
      </c>
      <c r="C199" s="9">
        <v>35</v>
      </c>
      <c r="D199" s="10">
        <v>35</v>
      </c>
      <c r="E199" s="16">
        <f>6.5*C199/100</f>
        <v>2.275</v>
      </c>
      <c r="F199" s="16">
        <f>1*C199/100</f>
        <v>0.35</v>
      </c>
      <c r="G199" s="16">
        <f>40.1*C199/100</f>
        <v>14.035</v>
      </c>
      <c r="H199" s="16">
        <f>38*C199/100</f>
        <v>13.3</v>
      </c>
      <c r="I199" s="16">
        <f>49*C199/100</f>
        <v>17.15</v>
      </c>
      <c r="J199" s="16">
        <f>156*C199/100</f>
        <v>54.6</v>
      </c>
      <c r="K199" s="16">
        <f>2.6*C199/100</f>
        <v>0.91</v>
      </c>
      <c r="L199" s="16">
        <v>0</v>
      </c>
      <c r="M199" s="16">
        <f>0.18*C199/100</f>
        <v>0.063</v>
      </c>
      <c r="N199" s="16">
        <f>0.11*C199/100</f>
        <v>0.0385</v>
      </c>
      <c r="O199" s="16">
        <v>0</v>
      </c>
      <c r="P199" s="71">
        <f>190*C199/100</f>
        <v>66.5</v>
      </c>
      <c r="Q199" s="55"/>
    </row>
    <row r="200" spans="1:17" ht="33" customHeight="1">
      <c r="A200" s="77" t="s">
        <v>22</v>
      </c>
      <c r="B200" s="4"/>
      <c r="C200" s="4"/>
      <c r="D200" s="4"/>
      <c r="E200" s="4">
        <f aca="true" t="shared" si="31" ref="E200:P200">E179+E186+E189+E197+E198+E199</f>
        <v>33.945</v>
      </c>
      <c r="F200" s="4">
        <f t="shared" si="31"/>
        <v>28.230999999999998</v>
      </c>
      <c r="G200" s="4">
        <f t="shared" si="31"/>
        <v>152.832</v>
      </c>
      <c r="H200" s="4">
        <f t="shared" si="31"/>
        <v>117.94999999999999</v>
      </c>
      <c r="I200" s="4">
        <f t="shared" si="31"/>
        <v>72.16999999999999</v>
      </c>
      <c r="J200" s="4">
        <f t="shared" si="31"/>
        <v>275.82</v>
      </c>
      <c r="K200" s="4">
        <f t="shared" si="31"/>
        <v>4.841</v>
      </c>
      <c r="L200" s="4">
        <f t="shared" si="31"/>
        <v>1.7030000000000003</v>
      </c>
      <c r="M200" s="4">
        <f t="shared" si="31"/>
        <v>0.3753</v>
      </c>
      <c r="N200" s="4">
        <f t="shared" si="31"/>
        <v>0.18450000000000003</v>
      </c>
      <c r="O200" s="4">
        <f t="shared" si="31"/>
        <v>108.3</v>
      </c>
      <c r="P200" s="78">
        <f t="shared" si="31"/>
        <v>971.9100000000001</v>
      </c>
      <c r="Q200" s="55"/>
    </row>
    <row r="201" spans="1:17" ht="37.5" customHeight="1" thickBot="1">
      <c r="A201" s="200" t="s">
        <v>93</v>
      </c>
      <c r="B201" s="201"/>
      <c r="C201" s="202"/>
      <c r="D201" s="79"/>
      <c r="E201" s="79">
        <f aca="true" t="shared" si="32" ref="E201:P201">E174+E200</f>
        <v>88.224</v>
      </c>
      <c r="F201" s="79">
        <f t="shared" si="32"/>
        <v>75.83500000000001</v>
      </c>
      <c r="G201" s="79">
        <f t="shared" si="32"/>
        <v>267.591</v>
      </c>
      <c r="H201" s="79">
        <f t="shared" si="32"/>
        <v>246.7</v>
      </c>
      <c r="I201" s="79">
        <f t="shared" si="32"/>
        <v>239.29</v>
      </c>
      <c r="J201" s="79">
        <f t="shared" si="32"/>
        <v>1066.45</v>
      </c>
      <c r="K201" s="79">
        <f t="shared" si="32"/>
        <v>13.504000000000001</v>
      </c>
      <c r="L201" s="79">
        <f t="shared" si="32"/>
        <v>4.463100000000001</v>
      </c>
      <c r="M201" s="79">
        <f t="shared" si="32"/>
        <v>0.9915</v>
      </c>
      <c r="N201" s="79">
        <f t="shared" si="32"/>
        <v>0.8235</v>
      </c>
      <c r="O201" s="79">
        <f t="shared" si="32"/>
        <v>175.83999999999997</v>
      </c>
      <c r="P201" s="80">
        <f t="shared" si="32"/>
        <v>2052.7400000000002</v>
      </c>
      <c r="Q201" s="55"/>
    </row>
    <row r="202" spans="1:17" ht="16.5" customHeight="1">
      <c r="A202" s="170"/>
      <c r="B202" s="170"/>
      <c r="C202" s="170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55"/>
    </row>
    <row r="203" spans="1:17" s="113" customFormat="1" ht="16.5" customHeight="1">
      <c r="A203" s="158" t="s">
        <v>156</v>
      </c>
      <c r="B203" s="159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66"/>
    </row>
    <row r="204" spans="1:17" s="113" customFormat="1" ht="16.5" customHeight="1">
      <c r="A204" s="158" t="s">
        <v>151</v>
      </c>
      <c r="B204" s="159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66"/>
    </row>
    <row r="205" spans="1:17" s="113" customFormat="1" ht="16.5" customHeight="1" thickBot="1">
      <c r="A205" s="180" t="s">
        <v>152</v>
      </c>
      <c r="B205" s="180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66"/>
    </row>
    <row r="206" spans="1:17" s="31" customFormat="1" ht="16.5" customHeight="1">
      <c r="A206" s="65" t="s">
        <v>14</v>
      </c>
      <c r="B206" s="66"/>
      <c r="C206" s="66"/>
      <c r="D206" s="67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9"/>
      <c r="Q206" s="81"/>
    </row>
    <row r="207" spans="1:17" ht="16.5" customHeight="1">
      <c r="A207" s="216" t="s">
        <v>0</v>
      </c>
      <c r="B207" s="185" t="s">
        <v>40</v>
      </c>
      <c r="C207" s="185" t="s">
        <v>41</v>
      </c>
      <c r="D207" s="213" t="s">
        <v>42</v>
      </c>
      <c r="E207" s="189" t="s">
        <v>1</v>
      </c>
      <c r="F207" s="189"/>
      <c r="G207" s="189"/>
      <c r="H207" s="189" t="s">
        <v>3</v>
      </c>
      <c r="I207" s="189"/>
      <c r="J207" s="189"/>
      <c r="K207" s="189"/>
      <c r="L207" s="206" t="s">
        <v>2</v>
      </c>
      <c r="M207" s="207"/>
      <c r="N207" s="207"/>
      <c r="O207" s="207"/>
      <c r="P207" s="210" t="s">
        <v>43</v>
      </c>
      <c r="Q207" s="55"/>
    </row>
    <row r="208" spans="1:17" ht="16.5" customHeight="1">
      <c r="A208" s="217"/>
      <c r="B208" s="185"/>
      <c r="C208" s="185"/>
      <c r="D208" s="214"/>
      <c r="E208" s="189"/>
      <c r="F208" s="189"/>
      <c r="G208" s="189"/>
      <c r="H208" s="189" t="s">
        <v>4</v>
      </c>
      <c r="I208" s="189"/>
      <c r="J208" s="189"/>
      <c r="K208" s="189"/>
      <c r="L208" s="208"/>
      <c r="M208" s="209"/>
      <c r="N208" s="209"/>
      <c r="O208" s="209"/>
      <c r="P208" s="211"/>
      <c r="Q208" s="55"/>
    </row>
    <row r="209" spans="1:17" s="5" customFormat="1" ht="16.5" customHeight="1">
      <c r="A209" s="218"/>
      <c r="B209" s="185"/>
      <c r="C209" s="185"/>
      <c r="D209" s="215"/>
      <c r="E209" s="18" t="s">
        <v>5</v>
      </c>
      <c r="F209" s="18" t="s">
        <v>6</v>
      </c>
      <c r="G209" s="18" t="s">
        <v>7</v>
      </c>
      <c r="H209" s="18" t="s">
        <v>10</v>
      </c>
      <c r="I209" s="18" t="s">
        <v>12</v>
      </c>
      <c r="J209" s="18" t="s">
        <v>11</v>
      </c>
      <c r="K209" s="18" t="s">
        <v>13</v>
      </c>
      <c r="L209" s="18" t="s">
        <v>9</v>
      </c>
      <c r="M209" s="18" t="s">
        <v>51</v>
      </c>
      <c r="N209" s="18" t="s">
        <v>52</v>
      </c>
      <c r="O209" s="18" t="s">
        <v>8</v>
      </c>
      <c r="P209" s="212"/>
      <c r="Q209" s="57"/>
    </row>
    <row r="210" spans="1:17" s="33" customFormat="1" ht="16.5" customHeight="1">
      <c r="A210" s="186" t="s">
        <v>96</v>
      </c>
      <c r="B210" s="187"/>
      <c r="C210" s="188"/>
      <c r="D210" s="10">
        <v>110</v>
      </c>
      <c r="E210" s="16">
        <f>E211+E212+E213</f>
        <v>11.528999999999998</v>
      </c>
      <c r="F210" s="16">
        <f aca="true" t="shared" si="33" ref="F210:P210">F211+F212+F213</f>
        <v>15.504999999999999</v>
      </c>
      <c r="G210" s="16">
        <f t="shared" si="33"/>
        <v>2.213</v>
      </c>
      <c r="H210" s="16">
        <f t="shared" si="33"/>
        <v>83.54</v>
      </c>
      <c r="I210" s="16">
        <f t="shared" si="33"/>
        <v>50.050000000000004</v>
      </c>
      <c r="J210" s="16">
        <f t="shared" si="33"/>
        <v>184.7</v>
      </c>
      <c r="K210" s="16">
        <f t="shared" si="33"/>
        <v>2.272</v>
      </c>
      <c r="L210" s="16">
        <f t="shared" si="33"/>
        <v>0.325</v>
      </c>
      <c r="M210" s="16">
        <f t="shared" si="33"/>
        <v>0.008</v>
      </c>
      <c r="N210" s="16">
        <f t="shared" si="33"/>
        <v>0.4128</v>
      </c>
      <c r="O210" s="16">
        <f t="shared" si="33"/>
        <v>0.16</v>
      </c>
      <c r="P210" s="71">
        <f t="shared" si="33"/>
        <v>194.01000000000002</v>
      </c>
      <c r="Q210" s="82"/>
    </row>
    <row r="211" spans="1:17" s="22" customFormat="1" ht="16.5" customHeight="1">
      <c r="A211" s="72" t="s">
        <v>73</v>
      </c>
      <c r="B211" s="20">
        <v>2</v>
      </c>
      <c r="C211" s="20">
        <v>82</v>
      </c>
      <c r="D211" s="20"/>
      <c r="E211" s="3">
        <f>12.7*C211/100</f>
        <v>10.413999999999998</v>
      </c>
      <c r="F211" s="3">
        <f>11.5*C211/100</f>
        <v>9.43</v>
      </c>
      <c r="G211" s="3">
        <f>0.7*C211/100</f>
        <v>0.574</v>
      </c>
      <c r="H211" s="3">
        <f>55*C211/100</f>
        <v>45.1</v>
      </c>
      <c r="I211" s="3">
        <f>54*C211/100</f>
        <v>44.28</v>
      </c>
      <c r="J211" s="3">
        <f>185*C211/100</f>
        <v>151.7</v>
      </c>
      <c r="K211" s="3">
        <f>2.7*C211/100</f>
        <v>2.214</v>
      </c>
      <c r="L211" s="3">
        <f>0.35*C211/100</f>
        <v>0.287</v>
      </c>
      <c r="M211" s="3"/>
      <c r="N211" s="3">
        <f>0.44*C211/100</f>
        <v>0.3608</v>
      </c>
      <c r="O211" s="3"/>
      <c r="P211" s="76">
        <f>157*C211/100</f>
        <v>128.74</v>
      </c>
      <c r="Q211" s="59"/>
    </row>
    <row r="212" spans="1:17" s="22" customFormat="1" ht="16.5" customHeight="1">
      <c r="A212" s="72" t="s">
        <v>50</v>
      </c>
      <c r="B212" s="20">
        <v>4</v>
      </c>
      <c r="C212" s="20">
        <v>4</v>
      </c>
      <c r="D212" s="20"/>
      <c r="E212" s="23">
        <f>25.6*C212/100</f>
        <v>1.024</v>
      </c>
      <c r="F212" s="23">
        <f>25*C212/100</f>
        <v>1</v>
      </c>
      <c r="G212" s="23">
        <f>39.4*C212/100</f>
        <v>1.5759999999999998</v>
      </c>
      <c r="H212" s="23">
        <f>919*C212/100</f>
        <v>36.76</v>
      </c>
      <c r="I212" s="23">
        <f>139*C212/100</f>
        <v>5.56</v>
      </c>
      <c r="J212" s="23">
        <f>790*C212/100</f>
        <v>31.6</v>
      </c>
      <c r="K212" s="23">
        <f>1.1*C212/100</f>
        <v>0.044000000000000004</v>
      </c>
      <c r="L212" s="23">
        <f>0.25*C212/100</f>
        <v>0.01</v>
      </c>
      <c r="M212" s="23">
        <f>0.2*C212/100</f>
        <v>0.008</v>
      </c>
      <c r="N212" s="23">
        <f>1.3*C212/100</f>
        <v>0.052000000000000005</v>
      </c>
      <c r="O212" s="23">
        <f>4*C212/100</f>
        <v>0.16</v>
      </c>
      <c r="P212" s="74">
        <f>475*C212/100</f>
        <v>19</v>
      </c>
      <c r="Q212" s="59"/>
    </row>
    <row r="213" spans="1:17" s="35" customFormat="1" ht="16.5" customHeight="1">
      <c r="A213" s="72" t="s">
        <v>63</v>
      </c>
      <c r="B213" s="20">
        <v>7</v>
      </c>
      <c r="C213" s="20">
        <v>7</v>
      </c>
      <c r="D213" s="20"/>
      <c r="E213" s="3">
        <f>1.3*C213/100</f>
        <v>0.091</v>
      </c>
      <c r="F213" s="3">
        <f>72.5*C213/100</f>
        <v>5.075</v>
      </c>
      <c r="G213" s="3">
        <f>0.9*C213/100</f>
        <v>0.063</v>
      </c>
      <c r="H213" s="3">
        <f>24*C213/100</f>
        <v>1.68</v>
      </c>
      <c r="I213" s="3">
        <f>3*C213/100</f>
        <v>0.21</v>
      </c>
      <c r="J213" s="3">
        <f>20*C213/100</f>
        <v>1.4</v>
      </c>
      <c r="K213" s="3">
        <f>0.2*C213/100</f>
        <v>0.014000000000000002</v>
      </c>
      <c r="L213" s="3">
        <f>0.4*C213/100</f>
        <v>0.028000000000000004</v>
      </c>
      <c r="M213" s="3"/>
      <c r="N213" s="3"/>
      <c r="O213" s="3"/>
      <c r="P213" s="76">
        <f>661*C213/100</f>
        <v>46.27</v>
      </c>
      <c r="Q213" s="54"/>
    </row>
    <row r="214" spans="1:17" s="11" customFormat="1" ht="16.5" customHeight="1">
      <c r="A214" s="70" t="s">
        <v>139</v>
      </c>
      <c r="B214" s="9">
        <v>55</v>
      </c>
      <c r="C214" s="9">
        <v>55</v>
      </c>
      <c r="D214" s="10">
        <v>55</v>
      </c>
      <c r="E214" s="16">
        <f>13.7*C214/100</f>
        <v>7.535</v>
      </c>
      <c r="F214" s="16">
        <f>22.8*C214/100</f>
        <v>12.54</v>
      </c>
      <c r="G214" s="16"/>
      <c r="H214" s="16">
        <f>29*C214/100</f>
        <v>15.95</v>
      </c>
      <c r="I214" s="16">
        <f>22*C214/100</f>
        <v>12.1</v>
      </c>
      <c r="J214" s="16">
        <f>178*C214/100</f>
        <v>97.9</v>
      </c>
      <c r="K214" s="16">
        <f>1.7*C214/100</f>
        <v>0.935</v>
      </c>
      <c r="L214" s="16"/>
      <c r="M214" s="16"/>
      <c r="N214" s="16"/>
      <c r="O214" s="16"/>
      <c r="P214" s="71">
        <f>260*C214/100</f>
        <v>143</v>
      </c>
      <c r="Q214" s="56"/>
    </row>
    <row r="215" spans="1:17" s="19" customFormat="1" ht="16.5" customHeight="1">
      <c r="A215" s="70" t="s">
        <v>16</v>
      </c>
      <c r="B215" s="9">
        <v>30</v>
      </c>
      <c r="C215" s="9">
        <v>30</v>
      </c>
      <c r="D215" s="10">
        <v>30</v>
      </c>
      <c r="E215" s="16">
        <f>7.6*C215/100</f>
        <v>2.28</v>
      </c>
      <c r="F215" s="16">
        <f>0.6*C215/100</f>
        <v>0.18</v>
      </c>
      <c r="G215" s="16">
        <f>52.3*C215/100</f>
        <v>15.69</v>
      </c>
      <c r="H215" s="16">
        <f>20*C215/100</f>
        <v>6</v>
      </c>
      <c r="I215" s="16">
        <f>14*C215/100</f>
        <v>4.2</v>
      </c>
      <c r="J215" s="16">
        <f>65*C215/100</f>
        <v>19.5</v>
      </c>
      <c r="K215" s="16">
        <f>0.9*C215/100</f>
        <v>0.27</v>
      </c>
      <c r="L215" s="16">
        <v>0</v>
      </c>
      <c r="M215" s="16">
        <f>0.11*C215/100</f>
        <v>0.033</v>
      </c>
      <c r="N215" s="16">
        <f>0.06*C215/100</f>
        <v>0.018</v>
      </c>
      <c r="O215" s="16">
        <v>0</v>
      </c>
      <c r="P215" s="71">
        <f>233*C215/100</f>
        <v>69.9</v>
      </c>
      <c r="Q215" s="58"/>
    </row>
    <row r="216" spans="1:17" s="42" customFormat="1" ht="49.5" customHeight="1">
      <c r="A216" s="88" t="s">
        <v>98</v>
      </c>
      <c r="B216" s="9">
        <v>200</v>
      </c>
      <c r="C216" s="9">
        <v>200</v>
      </c>
      <c r="D216" s="10">
        <v>200</v>
      </c>
      <c r="E216" s="16">
        <f>2.8*C216/100</f>
        <v>5.6</v>
      </c>
      <c r="F216" s="16">
        <f>2.5*C216/100</f>
        <v>5</v>
      </c>
      <c r="G216" s="16">
        <f>11.7*C216/100</f>
        <v>23.4</v>
      </c>
      <c r="H216" s="16">
        <f>121*C216/100</f>
        <v>242</v>
      </c>
      <c r="I216" s="16"/>
      <c r="J216" s="16"/>
      <c r="K216" s="16"/>
      <c r="L216" s="16"/>
      <c r="M216" s="16"/>
      <c r="N216" s="16"/>
      <c r="O216" s="16"/>
      <c r="P216" s="71">
        <f>78*C216/100</f>
        <v>156</v>
      </c>
      <c r="Q216" s="85"/>
    </row>
    <row r="217" spans="1:17" ht="33" customHeight="1" thickBot="1">
      <c r="A217" s="89" t="s">
        <v>18</v>
      </c>
      <c r="B217" s="90"/>
      <c r="C217" s="90"/>
      <c r="D217" s="90"/>
      <c r="E217" s="90">
        <f>E210+E214+E215+E216</f>
        <v>26.944000000000003</v>
      </c>
      <c r="F217" s="90">
        <f aca="true" t="shared" si="34" ref="F217:P217">F210+F214+F215+F216</f>
        <v>33.224999999999994</v>
      </c>
      <c r="G217" s="90">
        <f t="shared" si="34"/>
        <v>41.303</v>
      </c>
      <c r="H217" s="90">
        <f t="shared" si="34"/>
        <v>347.49</v>
      </c>
      <c r="I217" s="90">
        <f t="shared" si="34"/>
        <v>66.35000000000001</v>
      </c>
      <c r="J217" s="90">
        <f t="shared" si="34"/>
        <v>302.1</v>
      </c>
      <c r="K217" s="90">
        <f t="shared" si="34"/>
        <v>3.477</v>
      </c>
      <c r="L217" s="90">
        <f t="shared" si="34"/>
        <v>0.325</v>
      </c>
      <c r="M217" s="90">
        <f t="shared" si="34"/>
        <v>0.041</v>
      </c>
      <c r="N217" s="90">
        <f t="shared" si="34"/>
        <v>0.4308</v>
      </c>
      <c r="O217" s="90">
        <f t="shared" si="34"/>
        <v>0.16</v>
      </c>
      <c r="P217" s="91">
        <f t="shared" si="34"/>
        <v>562.91</v>
      </c>
      <c r="Q217" s="55"/>
    </row>
    <row r="218" spans="1:17" s="35" customFormat="1" ht="16.5" customHeight="1">
      <c r="A218" s="65" t="s">
        <v>19</v>
      </c>
      <c r="B218" s="66"/>
      <c r="C218" s="66"/>
      <c r="D218" s="67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9"/>
      <c r="Q218" s="54"/>
    </row>
    <row r="219" spans="1:17" ht="16.5" customHeight="1">
      <c r="A219" s="216" t="s">
        <v>0</v>
      </c>
      <c r="B219" s="185" t="s">
        <v>40</v>
      </c>
      <c r="C219" s="185" t="s">
        <v>41</v>
      </c>
      <c r="D219" s="213" t="s">
        <v>42</v>
      </c>
      <c r="E219" s="189" t="s">
        <v>1</v>
      </c>
      <c r="F219" s="189"/>
      <c r="G219" s="189"/>
      <c r="H219" s="189" t="s">
        <v>3</v>
      </c>
      <c r="I219" s="189"/>
      <c r="J219" s="189"/>
      <c r="K219" s="189"/>
      <c r="L219" s="206" t="s">
        <v>2</v>
      </c>
      <c r="M219" s="207"/>
      <c r="N219" s="207"/>
      <c r="O219" s="207"/>
      <c r="P219" s="210" t="s">
        <v>43</v>
      </c>
      <c r="Q219" s="55"/>
    </row>
    <row r="220" spans="1:17" ht="16.5" customHeight="1">
      <c r="A220" s="217"/>
      <c r="B220" s="185"/>
      <c r="C220" s="185"/>
      <c r="D220" s="214"/>
      <c r="E220" s="189"/>
      <c r="F220" s="189"/>
      <c r="G220" s="189"/>
      <c r="H220" s="189" t="s">
        <v>4</v>
      </c>
      <c r="I220" s="189"/>
      <c r="J220" s="189"/>
      <c r="K220" s="189"/>
      <c r="L220" s="208"/>
      <c r="M220" s="209"/>
      <c r="N220" s="209"/>
      <c r="O220" s="209"/>
      <c r="P220" s="211"/>
      <c r="Q220" s="55"/>
    </row>
    <row r="221" spans="1:17" s="11" customFormat="1" ht="16.5" customHeight="1">
      <c r="A221" s="218"/>
      <c r="B221" s="185"/>
      <c r="C221" s="185"/>
      <c r="D221" s="215"/>
      <c r="E221" s="18" t="s">
        <v>5</v>
      </c>
      <c r="F221" s="18" t="s">
        <v>6</v>
      </c>
      <c r="G221" s="18" t="s">
        <v>7</v>
      </c>
      <c r="H221" s="18" t="s">
        <v>10</v>
      </c>
      <c r="I221" s="18" t="s">
        <v>12</v>
      </c>
      <c r="J221" s="18" t="s">
        <v>11</v>
      </c>
      <c r="K221" s="18" t="s">
        <v>13</v>
      </c>
      <c r="L221" s="18" t="s">
        <v>9</v>
      </c>
      <c r="M221" s="18" t="s">
        <v>51</v>
      </c>
      <c r="N221" s="18" t="s">
        <v>52</v>
      </c>
      <c r="O221" s="18" t="s">
        <v>8</v>
      </c>
      <c r="P221" s="212"/>
      <c r="Q221" s="56"/>
    </row>
    <row r="222" spans="1:17" s="11" customFormat="1" ht="16.5" customHeight="1">
      <c r="A222" s="70" t="s">
        <v>99</v>
      </c>
      <c r="B222" s="10"/>
      <c r="C222" s="10"/>
      <c r="D222" s="10">
        <v>250</v>
      </c>
      <c r="E222" s="16">
        <f>E223+E224+E225+E226+E227+E228</f>
        <v>8.29</v>
      </c>
      <c r="F222" s="16">
        <f aca="true" t="shared" si="35" ref="F222:P222">F223+F224+F225+F226+F227+F228</f>
        <v>12.135</v>
      </c>
      <c r="G222" s="16">
        <f t="shared" si="35"/>
        <v>27.11</v>
      </c>
      <c r="H222" s="16">
        <f t="shared" si="35"/>
        <v>19.599999999999998</v>
      </c>
      <c r="I222" s="16">
        <f t="shared" si="35"/>
        <v>28</v>
      </c>
      <c r="J222" s="16">
        <f t="shared" si="35"/>
        <v>73.2</v>
      </c>
      <c r="K222" s="16">
        <f t="shared" si="35"/>
        <v>1.19</v>
      </c>
      <c r="L222" s="16">
        <f t="shared" si="35"/>
        <v>0.918</v>
      </c>
      <c r="M222" s="16">
        <f t="shared" si="35"/>
        <v>0.11599999999999999</v>
      </c>
      <c r="N222" s="16">
        <f t="shared" si="35"/>
        <v>0.049</v>
      </c>
      <c r="O222" s="16">
        <f t="shared" si="35"/>
        <v>19.5</v>
      </c>
      <c r="P222" s="71">
        <f t="shared" si="35"/>
        <v>244.45</v>
      </c>
      <c r="Q222" s="56"/>
    </row>
    <row r="223" spans="1:17" s="11" customFormat="1" ht="16.5" customHeight="1">
      <c r="A223" s="72" t="s">
        <v>77</v>
      </c>
      <c r="B223" s="20">
        <v>125</v>
      </c>
      <c r="C223" s="20">
        <v>90</v>
      </c>
      <c r="D223" s="20"/>
      <c r="E223" s="21">
        <f>2*C223/100</f>
        <v>1.8</v>
      </c>
      <c r="F223" s="21">
        <f>0.1*C223/100</f>
        <v>0.09</v>
      </c>
      <c r="G223" s="21">
        <f>19.7*C223/100</f>
        <v>17.73</v>
      </c>
      <c r="H223" s="21">
        <f>10*C223/100</f>
        <v>9</v>
      </c>
      <c r="I223" s="21">
        <f>23*C223/100</f>
        <v>20.7</v>
      </c>
      <c r="J223" s="21">
        <f>58*C223/100</f>
        <v>52.2</v>
      </c>
      <c r="K223" s="21">
        <f>0.9*C223/100</f>
        <v>0.81</v>
      </c>
      <c r="L223" s="21">
        <f>0.02*C223/100</f>
        <v>0.018000000000000002</v>
      </c>
      <c r="M223" s="21">
        <f>0.12*C223/100</f>
        <v>0.10799999999999998</v>
      </c>
      <c r="N223" s="21">
        <f>0.05*C223/100</f>
        <v>0.045</v>
      </c>
      <c r="O223" s="21">
        <f>20*C223/100</f>
        <v>18</v>
      </c>
      <c r="P223" s="73">
        <f>83*C223/100</f>
        <v>74.7</v>
      </c>
      <c r="Q223" s="56"/>
    </row>
    <row r="224" spans="1:17" s="5" customFormat="1" ht="16.5" customHeight="1">
      <c r="A224" s="72" t="s">
        <v>46</v>
      </c>
      <c r="B224" s="20">
        <v>12</v>
      </c>
      <c r="C224" s="20">
        <v>10</v>
      </c>
      <c r="D224" s="20"/>
      <c r="E224" s="23">
        <f>1.7*C224/100</f>
        <v>0.17</v>
      </c>
      <c r="F224" s="23">
        <v>0</v>
      </c>
      <c r="G224" s="23">
        <f>9.5*C224/100</f>
        <v>0.95</v>
      </c>
      <c r="H224" s="23">
        <f>31*C224/100</f>
        <v>3.1</v>
      </c>
      <c r="I224" s="23">
        <f>14*C224/100</f>
        <v>1.4</v>
      </c>
      <c r="J224" s="23">
        <f>58*C224/100</f>
        <v>5.8</v>
      </c>
      <c r="K224" s="23">
        <f>0.8*C224/100</f>
        <v>0.08</v>
      </c>
      <c r="L224" s="23">
        <v>0</v>
      </c>
      <c r="M224" s="23">
        <v>0</v>
      </c>
      <c r="N224" s="23">
        <v>0</v>
      </c>
      <c r="O224" s="23">
        <f>10*C224/100</f>
        <v>1</v>
      </c>
      <c r="P224" s="74">
        <f>43*C224/100</f>
        <v>4.3</v>
      </c>
      <c r="Q224" s="57"/>
    </row>
    <row r="225" spans="1:17" ht="16.5" customHeight="1">
      <c r="A225" s="72" t="s">
        <v>47</v>
      </c>
      <c r="B225" s="20">
        <v>13</v>
      </c>
      <c r="C225" s="20">
        <v>10</v>
      </c>
      <c r="D225" s="20"/>
      <c r="E225" s="24">
        <f>1.3*C225/100</f>
        <v>0.13</v>
      </c>
      <c r="F225" s="24"/>
      <c r="G225" s="24">
        <f>7*C225/100</f>
        <v>0.7</v>
      </c>
      <c r="H225" s="24">
        <f>51*C225/100</f>
        <v>5.1</v>
      </c>
      <c r="I225" s="24">
        <f>38*C225/100</f>
        <v>3.8</v>
      </c>
      <c r="J225" s="24">
        <f>55*C225/100</f>
        <v>5.5</v>
      </c>
      <c r="K225" s="24">
        <f>1.2*C225/100</f>
        <v>0.12</v>
      </c>
      <c r="L225" s="24">
        <f>9*C225/100</f>
        <v>0.9</v>
      </c>
      <c r="M225" s="24">
        <v>0</v>
      </c>
      <c r="N225" s="24">
        <v>0</v>
      </c>
      <c r="O225" s="24">
        <f>5*C225/100</f>
        <v>0.5</v>
      </c>
      <c r="P225" s="75">
        <f>33*C225/100</f>
        <v>3.3</v>
      </c>
      <c r="Q225" s="55"/>
    </row>
    <row r="226" spans="1:17" s="19" customFormat="1" ht="16.5" customHeight="1">
      <c r="A226" s="72" t="s">
        <v>59</v>
      </c>
      <c r="B226" s="20">
        <v>5</v>
      </c>
      <c r="C226" s="20">
        <v>5</v>
      </c>
      <c r="D226" s="20"/>
      <c r="E226" s="23"/>
      <c r="F226" s="3">
        <f>99.9*C226/100</f>
        <v>4.995</v>
      </c>
      <c r="G226" s="3"/>
      <c r="H226" s="3"/>
      <c r="I226" s="3"/>
      <c r="J226" s="3"/>
      <c r="K226" s="3"/>
      <c r="L226" s="3"/>
      <c r="M226" s="3"/>
      <c r="N226" s="3"/>
      <c r="O226" s="3"/>
      <c r="P226" s="76">
        <f>899*C226/100</f>
        <v>44.95</v>
      </c>
      <c r="Q226" s="58"/>
    </row>
    <row r="227" spans="1:17" s="19" customFormat="1" ht="16.5" customHeight="1">
      <c r="A227" s="72" t="s">
        <v>100</v>
      </c>
      <c r="B227" s="20">
        <v>30</v>
      </c>
      <c r="C227" s="20">
        <v>30</v>
      </c>
      <c r="D227" s="20"/>
      <c r="E227" s="23">
        <f>18.3*C227/100</f>
        <v>5.49</v>
      </c>
      <c r="F227" s="23">
        <f>23.3*C227/100</f>
        <v>6.99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74">
        <f>283*C227/100</f>
        <v>84.9</v>
      </c>
      <c r="Q227" s="58"/>
    </row>
    <row r="228" spans="1:17" s="19" customFormat="1" ht="16.5" customHeight="1">
      <c r="A228" s="72" t="s">
        <v>101</v>
      </c>
      <c r="B228" s="20">
        <v>10</v>
      </c>
      <c r="C228" s="20">
        <v>10</v>
      </c>
      <c r="D228" s="20"/>
      <c r="E228" s="21">
        <f>7*C228/100</f>
        <v>0.7</v>
      </c>
      <c r="F228" s="21">
        <f>0.6*C228/100</f>
        <v>0.06</v>
      </c>
      <c r="G228" s="21">
        <f>77.3*C228/100</f>
        <v>7.73</v>
      </c>
      <c r="H228" s="21">
        <f>24*C228/100</f>
        <v>2.4</v>
      </c>
      <c r="I228" s="21">
        <f>21*C228/100</f>
        <v>2.1</v>
      </c>
      <c r="J228" s="21">
        <f>97*C228/100</f>
        <v>9.7</v>
      </c>
      <c r="K228" s="21">
        <f>1.8*C228/100</f>
        <v>0.18</v>
      </c>
      <c r="L228" s="21"/>
      <c r="M228" s="21">
        <f>0.08*C228/100</f>
        <v>0.008</v>
      </c>
      <c r="N228" s="21">
        <f>0.04*C228/100</f>
        <v>0.004</v>
      </c>
      <c r="O228" s="21"/>
      <c r="P228" s="73">
        <f>323*C228/100</f>
        <v>32.3</v>
      </c>
      <c r="Q228" s="58"/>
    </row>
    <row r="229" spans="1:17" s="11" customFormat="1" ht="16.5" customHeight="1">
      <c r="A229" s="186" t="s">
        <v>26</v>
      </c>
      <c r="B229" s="187"/>
      <c r="C229" s="188"/>
      <c r="D229" s="10">
        <v>100</v>
      </c>
      <c r="E229" s="16">
        <f aca="true" t="shared" si="36" ref="E229:P229">E230+E231</f>
        <v>22.241000000000003</v>
      </c>
      <c r="F229" s="16">
        <f t="shared" si="36"/>
        <v>19.123</v>
      </c>
      <c r="G229" s="16">
        <f t="shared" si="36"/>
        <v>0.549</v>
      </c>
      <c r="H229" s="16">
        <f t="shared" si="36"/>
        <v>13.799999999999999</v>
      </c>
      <c r="I229" s="16">
        <f t="shared" si="36"/>
        <v>31.65</v>
      </c>
      <c r="J229" s="16">
        <f t="shared" si="36"/>
        <v>265.6</v>
      </c>
      <c r="K229" s="16">
        <f t="shared" si="36"/>
        <v>1.9</v>
      </c>
      <c r="L229" s="16">
        <f t="shared" si="36"/>
        <v>0.0704</v>
      </c>
      <c r="M229" s="16">
        <f t="shared" si="36"/>
        <v>0.0882</v>
      </c>
      <c r="N229" s="16">
        <f t="shared" si="36"/>
        <v>0.18899999999999997</v>
      </c>
      <c r="O229" s="16">
        <f t="shared" si="36"/>
        <v>0</v>
      </c>
      <c r="P229" s="71">
        <f t="shared" si="36"/>
        <v>263.63</v>
      </c>
      <c r="Q229" s="56"/>
    </row>
    <row r="230" spans="1:17" s="22" customFormat="1" ht="16.5" customHeight="1">
      <c r="A230" s="72" t="s">
        <v>79</v>
      </c>
      <c r="B230" s="20">
        <v>175</v>
      </c>
      <c r="C230" s="20">
        <v>126</v>
      </c>
      <c r="D230" s="9"/>
      <c r="E230" s="3">
        <f>17.6*C230/100</f>
        <v>22.176000000000002</v>
      </c>
      <c r="F230" s="3">
        <f>12.3*C230/100</f>
        <v>15.498000000000001</v>
      </c>
      <c r="G230" s="3">
        <f>0.4*C230/100</f>
        <v>0.504</v>
      </c>
      <c r="H230" s="3">
        <f>10*C230/100</f>
        <v>12.6</v>
      </c>
      <c r="I230" s="3">
        <f>25*C230/100</f>
        <v>31.5</v>
      </c>
      <c r="J230" s="3">
        <f>210*C230/100</f>
        <v>264.6</v>
      </c>
      <c r="K230" s="3">
        <f>1.5*C230/100</f>
        <v>1.89</v>
      </c>
      <c r="L230" s="3">
        <f>0.04*C230/100</f>
        <v>0.0504</v>
      </c>
      <c r="M230" s="3">
        <f>0.07*C230/100</f>
        <v>0.0882</v>
      </c>
      <c r="N230" s="3">
        <f>0.15*C230/100</f>
        <v>0.18899999999999997</v>
      </c>
      <c r="O230" s="3"/>
      <c r="P230" s="76">
        <f>183*C230/100</f>
        <v>230.58</v>
      </c>
      <c r="Q230" s="59"/>
    </row>
    <row r="231" spans="1:17" s="22" customFormat="1" ht="16.5" customHeight="1">
      <c r="A231" s="72" t="s">
        <v>48</v>
      </c>
      <c r="B231" s="20">
        <v>5</v>
      </c>
      <c r="C231" s="20">
        <v>5</v>
      </c>
      <c r="D231" s="20"/>
      <c r="E231" s="21">
        <f>1.3*C231/100</f>
        <v>0.065</v>
      </c>
      <c r="F231" s="21">
        <f>72.5*C231/100</f>
        <v>3.625</v>
      </c>
      <c r="G231" s="21">
        <f>0.9*C231/100</f>
        <v>0.045</v>
      </c>
      <c r="H231" s="21">
        <f>24*C231/100</f>
        <v>1.2</v>
      </c>
      <c r="I231" s="21">
        <f>3*C231/100</f>
        <v>0.15</v>
      </c>
      <c r="J231" s="21">
        <f>20*C231/100</f>
        <v>1</v>
      </c>
      <c r="K231" s="21">
        <f>0.2*C231/100</f>
        <v>0.01</v>
      </c>
      <c r="L231" s="21">
        <f>0.4*C231/100</f>
        <v>0.02</v>
      </c>
      <c r="M231" s="21"/>
      <c r="N231" s="21"/>
      <c r="O231" s="21"/>
      <c r="P231" s="73">
        <f>661*C231/100</f>
        <v>33.05</v>
      </c>
      <c r="Q231" s="59"/>
    </row>
    <row r="232" spans="1:17" s="22" customFormat="1" ht="16.5" customHeight="1">
      <c r="A232" s="186" t="s">
        <v>27</v>
      </c>
      <c r="B232" s="187"/>
      <c r="C232" s="188"/>
      <c r="D232" s="10">
        <v>180</v>
      </c>
      <c r="E232" s="16">
        <f aca="true" t="shared" si="37" ref="E232:P232">E233+E234+E235</f>
        <v>4.446</v>
      </c>
      <c r="F232" s="16">
        <f t="shared" si="37"/>
        <v>5.279999999999999</v>
      </c>
      <c r="G232" s="16">
        <f t="shared" si="37"/>
        <v>36.696000000000005</v>
      </c>
      <c r="H232" s="16">
        <f t="shared" si="37"/>
        <v>47.010000000000005</v>
      </c>
      <c r="I232" s="16">
        <f t="shared" si="37"/>
        <v>45.75</v>
      </c>
      <c r="J232" s="16">
        <f t="shared" si="37"/>
        <v>129.3</v>
      </c>
      <c r="K232" s="16">
        <f t="shared" si="37"/>
        <v>1.665</v>
      </c>
      <c r="L232" s="16">
        <f t="shared" si="37"/>
        <v>0.0675</v>
      </c>
      <c r="M232" s="16">
        <f t="shared" si="37"/>
        <v>0.22199999999999998</v>
      </c>
      <c r="N232" s="16">
        <f t="shared" si="37"/>
        <v>0.129</v>
      </c>
      <c r="O232" s="16">
        <f t="shared" si="37"/>
        <v>36.12</v>
      </c>
      <c r="P232" s="71">
        <f t="shared" si="37"/>
        <v>203.31</v>
      </c>
      <c r="Q232" s="59"/>
    </row>
    <row r="233" spans="1:17" s="22" customFormat="1" ht="16.5" customHeight="1">
      <c r="A233" s="72" t="s">
        <v>49</v>
      </c>
      <c r="B233" s="20">
        <v>250</v>
      </c>
      <c r="C233" s="20">
        <v>180</v>
      </c>
      <c r="D233" s="20"/>
      <c r="E233" s="21">
        <f>2*C233/100</f>
        <v>3.6</v>
      </c>
      <c r="F233" s="21">
        <f>0.1*C233/100</f>
        <v>0.18</v>
      </c>
      <c r="G233" s="21">
        <f>19.7*C233/100</f>
        <v>35.46</v>
      </c>
      <c r="H233" s="21">
        <f>10*C233/100</f>
        <v>18</v>
      </c>
      <c r="I233" s="21">
        <f>23*C233/100</f>
        <v>41.4</v>
      </c>
      <c r="J233" s="21">
        <f>58*C233/100</f>
        <v>104.4</v>
      </c>
      <c r="K233" s="21">
        <f>0.9*C233/100</f>
        <v>1.62</v>
      </c>
      <c r="L233" s="21">
        <f>0.02*C233/100</f>
        <v>0.036000000000000004</v>
      </c>
      <c r="M233" s="21">
        <f>0.12*C233/100</f>
        <v>0.21599999999999997</v>
      </c>
      <c r="N233" s="21">
        <f>0.05*C233/100</f>
        <v>0.09</v>
      </c>
      <c r="O233" s="21">
        <f>20*C233/100</f>
        <v>36</v>
      </c>
      <c r="P233" s="73">
        <f>83*C233/100</f>
        <v>149.4</v>
      </c>
      <c r="Q233" s="59"/>
    </row>
    <row r="234" spans="1:17" s="28" customFormat="1" ht="16.5" customHeight="1">
      <c r="A234" s="72" t="s">
        <v>48</v>
      </c>
      <c r="B234" s="20">
        <v>6</v>
      </c>
      <c r="C234" s="20">
        <v>6</v>
      </c>
      <c r="D234" s="20"/>
      <c r="E234" s="21">
        <f>1.3*C234/100</f>
        <v>0.07800000000000001</v>
      </c>
      <c r="F234" s="21">
        <f>72.5*C234/100</f>
        <v>4.35</v>
      </c>
      <c r="G234" s="21">
        <f>0.9*C234/100</f>
        <v>0.054000000000000006</v>
      </c>
      <c r="H234" s="21">
        <f>24*C234/100</f>
        <v>1.44</v>
      </c>
      <c r="I234" s="21">
        <f>3*C234/100</f>
        <v>0.18</v>
      </c>
      <c r="J234" s="21">
        <f>20*C234/100</f>
        <v>1.2</v>
      </c>
      <c r="K234" s="21">
        <f>0.2*C234/100</f>
        <v>0.012000000000000002</v>
      </c>
      <c r="L234" s="21">
        <f>0.4*C234/100</f>
        <v>0.024000000000000004</v>
      </c>
      <c r="M234" s="21"/>
      <c r="N234" s="21"/>
      <c r="O234" s="21"/>
      <c r="P234" s="73">
        <f>661*C234/100</f>
        <v>39.66</v>
      </c>
      <c r="Q234" s="60"/>
    </row>
    <row r="235" spans="1:17" s="28" customFormat="1" ht="16.5" customHeight="1">
      <c r="A235" s="72" t="s">
        <v>50</v>
      </c>
      <c r="B235" s="20">
        <v>3</v>
      </c>
      <c r="C235" s="20">
        <v>3</v>
      </c>
      <c r="D235" s="20"/>
      <c r="E235" s="23">
        <f>25.6*C235/100</f>
        <v>0.7680000000000001</v>
      </c>
      <c r="F235" s="23">
        <f>25*C235/100</f>
        <v>0.75</v>
      </c>
      <c r="G235" s="23">
        <f>39.4*C235/100</f>
        <v>1.182</v>
      </c>
      <c r="H235" s="23">
        <f>919*C235/100</f>
        <v>27.57</v>
      </c>
      <c r="I235" s="23">
        <f>139*C235/100</f>
        <v>4.17</v>
      </c>
      <c r="J235" s="23">
        <f>790*C235/100</f>
        <v>23.7</v>
      </c>
      <c r="K235" s="23">
        <f>1.1*C235/100</f>
        <v>0.033</v>
      </c>
      <c r="L235" s="23">
        <f>0.25*C235/100</f>
        <v>0.0075</v>
      </c>
      <c r="M235" s="23">
        <f>0.2*C235/100</f>
        <v>0.006000000000000001</v>
      </c>
      <c r="N235" s="23">
        <f>1.3*C235/100</f>
        <v>0.03900000000000001</v>
      </c>
      <c r="O235" s="23">
        <f>4*C235/100</f>
        <v>0.12</v>
      </c>
      <c r="P235" s="74">
        <f>475*C235/100</f>
        <v>14.25</v>
      </c>
      <c r="Q235" s="60"/>
    </row>
    <row r="236" spans="1:17" ht="16.5" customHeight="1">
      <c r="A236" s="70" t="s">
        <v>16</v>
      </c>
      <c r="B236" s="9">
        <v>60</v>
      </c>
      <c r="C236" s="9">
        <v>60</v>
      </c>
      <c r="D236" s="10">
        <v>60</v>
      </c>
      <c r="E236" s="16">
        <f>7.6*C236/100</f>
        <v>4.56</v>
      </c>
      <c r="F236" s="16">
        <f>0.6*C236/100</f>
        <v>0.36</v>
      </c>
      <c r="G236" s="16">
        <f>52.3*C236/100</f>
        <v>31.38</v>
      </c>
      <c r="H236" s="16">
        <f>20*C236/100</f>
        <v>12</v>
      </c>
      <c r="I236" s="16">
        <f>14*C236/100</f>
        <v>8.4</v>
      </c>
      <c r="J236" s="16">
        <f>65*C236/100</f>
        <v>39</v>
      </c>
      <c r="K236" s="16">
        <f>0.9*C236/100</f>
        <v>0.54</v>
      </c>
      <c r="L236" s="16">
        <v>0</v>
      </c>
      <c r="M236" s="16">
        <f>0.11*C236/100</f>
        <v>0.066</v>
      </c>
      <c r="N236" s="16">
        <f>0.06*C236/100</f>
        <v>0.036</v>
      </c>
      <c r="O236" s="16">
        <v>0</v>
      </c>
      <c r="P236" s="71">
        <f>233*C236/100</f>
        <v>139.8</v>
      </c>
      <c r="Q236" s="55"/>
    </row>
    <row r="237" spans="1:17" ht="16.5" customHeight="1">
      <c r="A237" s="70" t="s">
        <v>17</v>
      </c>
      <c r="B237" s="9">
        <v>35</v>
      </c>
      <c r="C237" s="9">
        <v>35</v>
      </c>
      <c r="D237" s="10">
        <v>35</v>
      </c>
      <c r="E237" s="16">
        <f>6.5*C237/100</f>
        <v>2.275</v>
      </c>
      <c r="F237" s="16">
        <f>1*C237/100</f>
        <v>0.35</v>
      </c>
      <c r="G237" s="16">
        <f>40.1*C237/100</f>
        <v>14.035</v>
      </c>
      <c r="H237" s="16">
        <f>38*C237/100</f>
        <v>13.3</v>
      </c>
      <c r="I237" s="16">
        <f>49*C237/100</f>
        <v>17.15</v>
      </c>
      <c r="J237" s="16">
        <f>156*C237/100</f>
        <v>54.6</v>
      </c>
      <c r="K237" s="16">
        <f>2.6*C237/100</f>
        <v>0.91</v>
      </c>
      <c r="L237" s="16">
        <v>0</v>
      </c>
      <c r="M237" s="16">
        <f>0.18*C237/100</f>
        <v>0.063</v>
      </c>
      <c r="N237" s="16">
        <f>0.11*C237/100</f>
        <v>0.0385</v>
      </c>
      <c r="O237" s="16">
        <v>0</v>
      </c>
      <c r="P237" s="71">
        <f>190*C237/100</f>
        <v>66.5</v>
      </c>
      <c r="Q237" s="55"/>
    </row>
    <row r="238" spans="1:17" ht="16.5" customHeight="1">
      <c r="A238" s="186" t="s">
        <v>38</v>
      </c>
      <c r="B238" s="187"/>
      <c r="C238" s="188"/>
      <c r="D238" s="10">
        <v>200</v>
      </c>
      <c r="E238" s="16">
        <f aca="true" t="shared" si="38" ref="E238:P238">E239+E240</f>
        <v>0.09600000000000002</v>
      </c>
      <c r="F238" s="16">
        <f t="shared" si="38"/>
        <v>0</v>
      </c>
      <c r="G238" s="16">
        <f t="shared" si="38"/>
        <v>31.46</v>
      </c>
      <c r="H238" s="16">
        <f t="shared" si="38"/>
        <v>0.2</v>
      </c>
      <c r="I238" s="16">
        <f t="shared" si="38"/>
        <v>0</v>
      </c>
      <c r="J238" s="16">
        <f t="shared" si="38"/>
        <v>0</v>
      </c>
      <c r="K238" s="16">
        <f t="shared" si="38"/>
        <v>0.03</v>
      </c>
      <c r="L238" s="16">
        <f t="shared" si="38"/>
        <v>0</v>
      </c>
      <c r="M238" s="16">
        <f t="shared" si="38"/>
        <v>0</v>
      </c>
      <c r="N238" s="16">
        <f t="shared" si="38"/>
        <v>0</v>
      </c>
      <c r="O238" s="16">
        <f t="shared" si="38"/>
        <v>0</v>
      </c>
      <c r="P238" s="71">
        <f t="shared" si="38"/>
        <v>118.52000000000001</v>
      </c>
      <c r="Q238" s="55"/>
    </row>
    <row r="239" spans="1:17" ht="16.5" customHeight="1">
      <c r="A239" s="72" t="s">
        <v>53</v>
      </c>
      <c r="B239" s="20">
        <v>10</v>
      </c>
      <c r="C239" s="20">
        <v>10</v>
      </c>
      <c r="D239" s="20"/>
      <c r="E239" s="23"/>
      <c r="F239" s="23"/>
      <c r="G239" s="3">
        <f>99.8*C239/100</f>
        <v>9.98</v>
      </c>
      <c r="H239" s="3">
        <f>2*C239/100</f>
        <v>0.2</v>
      </c>
      <c r="I239" s="3"/>
      <c r="J239" s="3"/>
      <c r="K239" s="3">
        <f>0.3*C239/100</f>
        <v>0.03</v>
      </c>
      <c r="L239" s="3"/>
      <c r="M239" s="3"/>
      <c r="N239" s="3"/>
      <c r="O239" s="3"/>
      <c r="P239" s="76">
        <f>374*C239/100</f>
        <v>37.4</v>
      </c>
      <c r="Q239" s="55"/>
    </row>
    <row r="240" spans="1:17" ht="16.5" customHeight="1">
      <c r="A240" s="72" t="s">
        <v>71</v>
      </c>
      <c r="B240" s="20">
        <v>24</v>
      </c>
      <c r="C240" s="20">
        <v>24</v>
      </c>
      <c r="D240" s="20"/>
      <c r="E240" s="21">
        <f>0.4*C240/100</f>
        <v>0.09600000000000002</v>
      </c>
      <c r="F240" s="21"/>
      <c r="G240" s="21">
        <f>89.5*C240/100</f>
        <v>21.48</v>
      </c>
      <c r="H240" s="21"/>
      <c r="I240" s="21"/>
      <c r="J240" s="21"/>
      <c r="K240" s="21"/>
      <c r="L240" s="21"/>
      <c r="M240" s="21"/>
      <c r="N240" s="21"/>
      <c r="O240" s="21"/>
      <c r="P240" s="73">
        <f>338*C240/100</f>
        <v>81.12</v>
      </c>
      <c r="Q240" s="55"/>
    </row>
    <row r="241" spans="1:17" s="5" customFormat="1" ht="33" customHeight="1">
      <c r="A241" s="77" t="s">
        <v>22</v>
      </c>
      <c r="B241" s="4"/>
      <c r="C241" s="4"/>
      <c r="D241" s="6"/>
      <c r="E241" s="4">
        <f>E222+E229+E232+E236+E237+E238</f>
        <v>41.908</v>
      </c>
      <c r="F241" s="4">
        <f aca="true" t="shared" si="39" ref="F241:P241">F222+F229+F232+F236+F237+F238</f>
        <v>37.248000000000005</v>
      </c>
      <c r="G241" s="4">
        <f t="shared" si="39"/>
        <v>141.23</v>
      </c>
      <c r="H241" s="4">
        <f t="shared" si="39"/>
        <v>105.91</v>
      </c>
      <c r="I241" s="4">
        <f t="shared" si="39"/>
        <v>130.95000000000002</v>
      </c>
      <c r="J241" s="4">
        <f t="shared" si="39"/>
        <v>561.7</v>
      </c>
      <c r="K241" s="4">
        <f t="shared" si="39"/>
        <v>6.235</v>
      </c>
      <c r="L241" s="4">
        <f t="shared" si="39"/>
        <v>1.0559</v>
      </c>
      <c r="M241" s="4">
        <f t="shared" si="39"/>
        <v>0.5551999999999999</v>
      </c>
      <c r="N241" s="4">
        <f t="shared" si="39"/>
        <v>0.44149999999999995</v>
      </c>
      <c r="O241" s="4">
        <f t="shared" si="39"/>
        <v>55.62</v>
      </c>
      <c r="P241" s="78">
        <f t="shared" si="39"/>
        <v>1036.21</v>
      </c>
      <c r="Q241" s="57"/>
    </row>
    <row r="242" spans="1:17" ht="37.5" customHeight="1" thickBot="1">
      <c r="A242" s="200" t="s">
        <v>102</v>
      </c>
      <c r="B242" s="201"/>
      <c r="C242" s="202"/>
      <c r="D242" s="79"/>
      <c r="E242" s="79">
        <f aca="true" t="shared" si="40" ref="E242:P242">E217+E241</f>
        <v>68.852</v>
      </c>
      <c r="F242" s="79">
        <f t="shared" si="40"/>
        <v>70.473</v>
      </c>
      <c r="G242" s="79">
        <f t="shared" si="40"/>
        <v>182.533</v>
      </c>
      <c r="H242" s="79">
        <f t="shared" si="40"/>
        <v>453.4</v>
      </c>
      <c r="I242" s="79">
        <f t="shared" si="40"/>
        <v>197.3</v>
      </c>
      <c r="J242" s="79">
        <f t="shared" si="40"/>
        <v>863.8000000000001</v>
      </c>
      <c r="K242" s="79">
        <f t="shared" si="40"/>
        <v>9.712</v>
      </c>
      <c r="L242" s="79">
        <f t="shared" si="40"/>
        <v>1.3809</v>
      </c>
      <c r="M242" s="79">
        <f t="shared" si="40"/>
        <v>0.5962</v>
      </c>
      <c r="N242" s="79">
        <f t="shared" si="40"/>
        <v>0.8723</v>
      </c>
      <c r="O242" s="79">
        <f t="shared" si="40"/>
        <v>55.779999999999994</v>
      </c>
      <c r="P242" s="80">
        <f t="shared" si="40"/>
        <v>1599.12</v>
      </c>
      <c r="Q242" s="55"/>
    </row>
    <row r="243" spans="1:16" ht="15.75">
      <c r="A243" s="61"/>
      <c r="B243" s="62"/>
      <c r="C243" s="62"/>
      <c r="D243" s="37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4"/>
    </row>
    <row r="244" spans="1:16" ht="15.75">
      <c r="A244" s="12"/>
      <c r="B244" s="13"/>
      <c r="C244" s="13"/>
      <c r="D244" s="10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6"/>
    </row>
    <row r="245" spans="1:16" ht="15.75">
      <c r="A245" s="12"/>
      <c r="B245" s="13"/>
      <c r="C245" s="13"/>
      <c r="D245" s="10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6"/>
    </row>
    <row r="293" spans="1:16" ht="15.75">
      <c r="A293" s="12"/>
      <c r="B293" s="13"/>
      <c r="C293" s="13"/>
      <c r="D293" s="10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6"/>
    </row>
    <row r="294" spans="1:16" ht="15.75">
      <c r="A294" s="12"/>
      <c r="B294" s="13"/>
      <c r="C294" s="13"/>
      <c r="D294" s="10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8"/>
    </row>
    <row r="295" spans="1:16" ht="15.75">
      <c r="A295" s="12"/>
      <c r="B295" s="13"/>
      <c r="C295" s="13"/>
      <c r="D295" s="10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8"/>
    </row>
  </sheetData>
  <sheetProtection/>
  <mergeCells count="128">
    <mergeCell ref="A242:C242"/>
    <mergeCell ref="D58:D60"/>
    <mergeCell ref="A159:C159"/>
    <mergeCell ref="H219:K219"/>
    <mergeCell ref="H220:K220"/>
    <mergeCell ref="A197:B197"/>
    <mergeCell ref="D75:D77"/>
    <mergeCell ref="A136:C136"/>
    <mergeCell ref="A132:C132"/>
    <mergeCell ref="A89:C89"/>
    <mergeCell ref="A105:C105"/>
    <mergeCell ref="A116:C116"/>
    <mergeCell ref="C122:C124"/>
    <mergeCell ref="A14:C14"/>
    <mergeCell ref="A19:C19"/>
    <mergeCell ref="B26:B28"/>
    <mergeCell ref="C26:C28"/>
    <mergeCell ref="P102:P104"/>
    <mergeCell ref="L5:O6"/>
    <mergeCell ref="A8:C8"/>
    <mergeCell ref="A5:A7"/>
    <mergeCell ref="E5:G6"/>
    <mergeCell ref="H5:K5"/>
    <mergeCell ref="H6:K6"/>
    <mergeCell ref="B5:B7"/>
    <mergeCell ref="C5:C7"/>
    <mergeCell ref="D5:D7"/>
    <mergeCell ref="E75:G76"/>
    <mergeCell ref="P219:P221"/>
    <mergeCell ref="P5:P7"/>
    <mergeCell ref="E58:G59"/>
    <mergeCell ref="H58:K58"/>
    <mergeCell ref="L58:O59"/>
    <mergeCell ref="P58:P60"/>
    <mergeCell ref="H59:K59"/>
    <mergeCell ref="L219:O220"/>
    <mergeCell ref="P75:P77"/>
    <mergeCell ref="H75:K75"/>
    <mergeCell ref="A238:C238"/>
    <mergeCell ref="D219:D221"/>
    <mergeCell ref="E219:G220"/>
    <mergeCell ref="A62:C62"/>
    <mergeCell ref="A86:C86"/>
    <mergeCell ref="A75:A77"/>
    <mergeCell ref="B75:B77"/>
    <mergeCell ref="C75:C77"/>
    <mergeCell ref="A78:C78"/>
    <mergeCell ref="A39:C39"/>
    <mergeCell ref="A42:C42"/>
    <mergeCell ref="A58:A60"/>
    <mergeCell ref="B58:B60"/>
    <mergeCell ref="C58:C60"/>
    <mergeCell ref="A53:C53"/>
    <mergeCell ref="D122:D124"/>
    <mergeCell ref="A117:C117"/>
    <mergeCell ref="A29:C29"/>
    <mergeCell ref="L75:O76"/>
    <mergeCell ref="H102:K102"/>
    <mergeCell ref="L102:O103"/>
    <mergeCell ref="D102:D104"/>
    <mergeCell ref="E102:G103"/>
    <mergeCell ref="H103:K103"/>
    <mergeCell ref="H76:K76"/>
    <mergeCell ref="E26:G27"/>
    <mergeCell ref="H26:K26"/>
    <mergeCell ref="L26:O27"/>
    <mergeCell ref="P26:P28"/>
    <mergeCell ref="H27:K27"/>
    <mergeCell ref="D26:D28"/>
    <mergeCell ref="A229:C229"/>
    <mergeCell ref="H123:K123"/>
    <mergeCell ref="L176:O177"/>
    <mergeCell ref="P176:P178"/>
    <mergeCell ref="H177:K177"/>
    <mergeCell ref="A150:C150"/>
    <mergeCell ref="D207:D209"/>
    <mergeCell ref="A189:C189"/>
    <mergeCell ref="A179:C179"/>
    <mergeCell ref="E122:G123"/>
    <mergeCell ref="C102:C104"/>
    <mergeCell ref="A122:A124"/>
    <mergeCell ref="A232:C232"/>
    <mergeCell ref="A176:A178"/>
    <mergeCell ref="B176:B178"/>
    <mergeCell ref="C176:C178"/>
    <mergeCell ref="A201:C201"/>
    <mergeCell ref="A207:A209"/>
    <mergeCell ref="B207:B209"/>
    <mergeCell ref="C207:C209"/>
    <mergeCell ref="P156:P158"/>
    <mergeCell ref="H157:K157"/>
    <mergeCell ref="H122:K122"/>
    <mergeCell ref="A68:C68"/>
    <mergeCell ref="A156:A158"/>
    <mergeCell ref="B156:B158"/>
    <mergeCell ref="C156:C158"/>
    <mergeCell ref="A125:C125"/>
    <mergeCell ref="A102:A104"/>
    <mergeCell ref="B102:B104"/>
    <mergeCell ref="A96:C96"/>
    <mergeCell ref="E176:G177"/>
    <mergeCell ref="H176:K176"/>
    <mergeCell ref="D176:D178"/>
    <mergeCell ref="L122:O123"/>
    <mergeCell ref="P122:P124"/>
    <mergeCell ref="D156:D158"/>
    <mergeCell ref="E156:G157"/>
    <mergeCell ref="H156:K156"/>
    <mergeCell ref="L156:O157"/>
    <mergeCell ref="B219:B221"/>
    <mergeCell ref="C219:C221"/>
    <mergeCell ref="H207:K207"/>
    <mergeCell ref="E207:G208"/>
    <mergeCell ref="L207:O208"/>
    <mergeCell ref="P207:P209"/>
    <mergeCell ref="H208:K208"/>
    <mergeCell ref="A210:C210"/>
    <mergeCell ref="A219:A221"/>
    <mergeCell ref="A205:B205"/>
    <mergeCell ref="A3:B3"/>
    <mergeCell ref="A57:B57"/>
    <mergeCell ref="A100:B100"/>
    <mergeCell ref="A154:B154"/>
    <mergeCell ref="A186:C186"/>
    <mergeCell ref="A144:C144"/>
    <mergeCell ref="A90:C90"/>
    <mergeCell ref="B122:B124"/>
    <mergeCell ref="A26:A28"/>
  </mergeCells>
  <printOptions/>
  <pageMargins left="0.75" right="0.75" top="1" bottom="1" header="0.5" footer="0.5"/>
  <pageSetup horizontalDpi="600" verticalDpi="600" orientation="landscape" paperSize="9" scale="85" r:id="rId1"/>
  <rowBreaks count="10" manualBreakCount="10">
    <brk id="24" max="255" man="1"/>
    <brk id="53" max="15" man="1"/>
    <brk id="73" max="255" man="1"/>
    <brk id="96" max="15" man="1"/>
    <brk id="120" max="255" man="1"/>
    <brk id="150" max="15" man="1"/>
    <brk id="174" max="255" man="1"/>
    <brk id="201" max="15" man="1"/>
    <brk id="217" max="255" man="1"/>
    <brk id="242" max="255" man="1"/>
  </rowBreaks>
  <ignoredErrors>
    <ignoredError sqref="J31 E33 O33 F48 P48 J17 E84 I186" formula="1"/>
    <ignoredError sqref="L241:L2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2009-06-04T08:42:10Z</cp:lastPrinted>
  <dcterms:created xsi:type="dcterms:W3CDTF">1996-10-08T23:32:33Z</dcterms:created>
  <dcterms:modified xsi:type="dcterms:W3CDTF">2020-08-29T01:26:02Z</dcterms:modified>
  <cp:category/>
  <cp:version/>
  <cp:contentType/>
  <cp:contentStatus/>
</cp:coreProperties>
</file>